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edstreake/Dropbox/UAH WORK/UAH 2015/websites/AL CLIMATE REPORT 2012/blue/html/2024/february2024/"/>
    </mc:Choice>
  </mc:AlternateContent>
  <xr:revisionPtr revIDLastSave="0" documentId="13_ncr:1_{832FE436-A074-7247-8A8F-EA86FD7A5789}" xr6:coauthVersionLast="47" xr6:coauthVersionMax="47" xr10:uidLastSave="{00000000-0000-0000-0000-000000000000}"/>
  <bookViews>
    <workbookView xWindow="0" yWindow="500" windowWidth="51200" windowHeight="27320" activeTab="1" xr2:uid="{00000000-000D-0000-FFFF-FFFF00000000}"/>
  </bookViews>
  <sheets>
    <sheet name="CoCoRAHS January 2024" sheetId="1" r:id="rId1"/>
    <sheet name="CoCoRAHS_February 2024" sheetId="2" r:id="rId2"/>
    <sheet name="CoCoRAHS_March 2023" sheetId="3" r:id="rId3"/>
    <sheet name="CoCoRAHS_April 2023" sheetId="4" r:id="rId4"/>
    <sheet name="CoCoRAHS_May 2023" sheetId="5" r:id="rId5"/>
    <sheet name="CoCoRAHS_June 2023" sheetId="6" r:id="rId6"/>
    <sheet name="CoCoRAHS_July 2023" sheetId="7" r:id="rId7"/>
    <sheet name="CoCoRAHS_August_2023" sheetId="8" r:id="rId8"/>
    <sheet name="CoCoRAHS_September 2023" sheetId="9" r:id="rId9"/>
    <sheet name="CoCoRAHS_October_2023" sheetId="10" r:id="rId10"/>
    <sheet name="CoCoRAHS_November_2023" sheetId="11" r:id="rId11"/>
    <sheet name="CoCoRAHS_December_2023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aNqw0xKXujvYAF6vEATxg+iSlD4bFbmg/B2Oy+pOUrQ="/>
    </ext>
  </extLst>
</workbook>
</file>

<file path=xl/calcChain.xml><?xml version="1.0" encoding="utf-8"?>
<calcChain xmlns="http://schemas.openxmlformats.org/spreadsheetml/2006/main">
  <c r="F36" i="12" l="1"/>
  <c r="F35" i="12"/>
  <c r="F33" i="12"/>
  <c r="F32" i="12"/>
  <c r="F31" i="12"/>
  <c r="B31" i="12"/>
  <c r="F30" i="12"/>
  <c r="B30" i="12"/>
  <c r="B29" i="12"/>
  <c r="F28" i="12"/>
  <c r="B28" i="12"/>
  <c r="F27" i="12"/>
  <c r="F25" i="12"/>
  <c r="B25" i="12"/>
  <c r="F21" i="12"/>
  <c r="F20" i="12"/>
  <c r="B20" i="12"/>
  <c r="F19" i="12"/>
  <c r="F18" i="12"/>
  <c r="F17" i="12"/>
  <c r="B16" i="12"/>
  <c r="B15" i="12"/>
  <c r="F14" i="12"/>
  <c r="F11" i="12"/>
  <c r="B11" i="12"/>
  <c r="F10" i="12"/>
  <c r="F9" i="12"/>
  <c r="F8" i="12"/>
  <c r="B8" i="12"/>
  <c r="F6" i="12"/>
  <c r="B6" i="12"/>
  <c r="F5" i="12"/>
  <c r="B5" i="12"/>
  <c r="F4" i="12"/>
  <c r="B4" i="12"/>
  <c r="F36" i="11"/>
  <c r="F35" i="11"/>
  <c r="F33" i="11"/>
  <c r="F32" i="11"/>
  <c r="F31" i="11"/>
  <c r="B31" i="11"/>
  <c r="F30" i="11"/>
  <c r="B30" i="11"/>
  <c r="B29" i="11"/>
  <c r="F28" i="11"/>
  <c r="B28" i="11"/>
  <c r="F27" i="11"/>
  <c r="F25" i="11"/>
  <c r="B25" i="11"/>
  <c r="F21" i="11"/>
  <c r="F20" i="11"/>
  <c r="B20" i="11"/>
  <c r="F19" i="11"/>
  <c r="F18" i="11"/>
  <c r="F17" i="11"/>
  <c r="B16" i="11"/>
  <c r="F14" i="11"/>
  <c r="F11" i="11"/>
  <c r="B11" i="11"/>
  <c r="F10" i="11"/>
  <c r="F9" i="11"/>
  <c r="F8" i="11"/>
  <c r="B8" i="11"/>
  <c r="F6" i="11"/>
  <c r="B6" i="11"/>
  <c r="F5" i="11"/>
  <c r="B5" i="11"/>
  <c r="F4" i="11"/>
  <c r="B4" i="11"/>
  <c r="F36" i="10"/>
  <c r="F35" i="10"/>
  <c r="F33" i="10"/>
  <c r="F32" i="10"/>
  <c r="F31" i="10"/>
  <c r="B31" i="10"/>
  <c r="F30" i="10"/>
  <c r="B30" i="10"/>
  <c r="B29" i="10"/>
  <c r="F28" i="10"/>
  <c r="B28" i="10"/>
  <c r="F27" i="10"/>
  <c r="F25" i="10"/>
  <c r="B25" i="10"/>
  <c r="F21" i="10"/>
  <c r="F20" i="10"/>
  <c r="B20" i="10"/>
  <c r="F19" i="10"/>
  <c r="F18" i="10"/>
  <c r="F17" i="10"/>
  <c r="B16" i="10"/>
  <c r="F14" i="10"/>
  <c r="F11" i="10"/>
  <c r="B11" i="10"/>
  <c r="F10" i="10"/>
  <c r="F9" i="10"/>
  <c r="F8" i="10"/>
  <c r="B8" i="10"/>
  <c r="F6" i="10"/>
  <c r="B6" i="10"/>
  <c r="F5" i="10"/>
  <c r="B5" i="10"/>
  <c r="F4" i="10"/>
  <c r="F36" i="9"/>
  <c r="F35" i="9"/>
  <c r="F33" i="9"/>
  <c r="F32" i="9"/>
  <c r="B31" i="9"/>
  <c r="F30" i="9"/>
  <c r="B30" i="9"/>
  <c r="B29" i="9"/>
  <c r="F28" i="9"/>
  <c r="B28" i="9"/>
  <c r="F27" i="9"/>
  <c r="F25" i="9"/>
  <c r="B25" i="9"/>
  <c r="F21" i="9"/>
  <c r="F20" i="9"/>
  <c r="B20" i="9"/>
  <c r="F19" i="9"/>
  <c r="F18" i="9"/>
  <c r="F17" i="9"/>
  <c r="B16" i="9"/>
  <c r="F14" i="9"/>
  <c r="F11" i="9"/>
  <c r="B11" i="9"/>
  <c r="F10" i="9"/>
  <c r="B10" i="9"/>
  <c r="F9" i="9"/>
  <c r="F8" i="9"/>
  <c r="B8" i="9"/>
  <c r="F6" i="9"/>
  <c r="B6" i="9"/>
  <c r="F5" i="9"/>
  <c r="B5" i="9"/>
  <c r="F4" i="9"/>
  <c r="F36" i="8"/>
  <c r="F35" i="8"/>
  <c r="F33" i="8"/>
  <c r="F32" i="8"/>
  <c r="F31" i="8"/>
  <c r="B31" i="8"/>
  <c r="F30" i="8"/>
  <c r="B30" i="8"/>
  <c r="B29" i="8"/>
  <c r="F28" i="8"/>
  <c r="B28" i="8"/>
  <c r="F27" i="8"/>
  <c r="F25" i="8"/>
  <c r="B25" i="8"/>
  <c r="F21" i="8"/>
  <c r="F20" i="8"/>
  <c r="B20" i="8"/>
  <c r="F19" i="8"/>
  <c r="F18" i="8"/>
  <c r="F17" i="8"/>
  <c r="B16" i="8"/>
  <c r="F14" i="8"/>
  <c r="F11" i="8"/>
  <c r="B11" i="8"/>
  <c r="F10" i="8"/>
  <c r="F9" i="8"/>
  <c r="F8" i="8"/>
  <c r="B8" i="8"/>
  <c r="F6" i="8"/>
  <c r="B6" i="8"/>
  <c r="F5" i="8"/>
  <c r="B5" i="8"/>
  <c r="F4" i="8"/>
  <c r="F36" i="7"/>
  <c r="F35" i="7"/>
  <c r="F33" i="7"/>
  <c r="F32" i="7"/>
  <c r="F31" i="7"/>
  <c r="B31" i="7"/>
  <c r="F30" i="7"/>
  <c r="B30" i="7"/>
  <c r="B29" i="7"/>
  <c r="F28" i="7"/>
  <c r="B28" i="7"/>
  <c r="F27" i="7"/>
  <c r="F25" i="7"/>
  <c r="B25" i="7"/>
  <c r="F21" i="7"/>
  <c r="F20" i="7"/>
  <c r="B20" i="7"/>
  <c r="F19" i="7"/>
  <c r="F18" i="7"/>
  <c r="F17" i="7"/>
  <c r="B16" i="7"/>
  <c r="F14" i="7"/>
  <c r="F11" i="7"/>
  <c r="B11" i="7"/>
  <c r="F10" i="7"/>
  <c r="F9" i="7"/>
  <c r="F8" i="7"/>
  <c r="B8" i="7"/>
  <c r="F6" i="7"/>
  <c r="B6" i="7"/>
  <c r="F5" i="7"/>
  <c r="B5" i="7"/>
  <c r="F4" i="7"/>
  <c r="B4" i="7"/>
  <c r="F36" i="6"/>
  <c r="F35" i="6"/>
  <c r="F33" i="6"/>
  <c r="F32" i="6"/>
  <c r="F31" i="6"/>
  <c r="B31" i="6"/>
  <c r="F30" i="6"/>
  <c r="B30" i="6"/>
  <c r="B29" i="6"/>
  <c r="F28" i="6"/>
  <c r="B28" i="6"/>
  <c r="F27" i="6"/>
  <c r="F25" i="6"/>
  <c r="B25" i="6"/>
  <c r="F21" i="6"/>
  <c r="F20" i="6"/>
  <c r="B20" i="6"/>
  <c r="F19" i="6"/>
  <c r="F18" i="6"/>
  <c r="F17" i="6"/>
  <c r="B16" i="6"/>
  <c r="F14" i="6"/>
  <c r="F11" i="6"/>
  <c r="B11" i="6"/>
  <c r="F10" i="6"/>
  <c r="F9" i="6"/>
  <c r="F8" i="6"/>
  <c r="B8" i="6"/>
  <c r="F6" i="6"/>
  <c r="B6" i="6"/>
  <c r="F5" i="6"/>
  <c r="B5" i="6"/>
  <c r="F4" i="6"/>
  <c r="F36" i="5"/>
  <c r="F35" i="5"/>
  <c r="F33" i="5"/>
  <c r="F32" i="5"/>
  <c r="F31" i="5"/>
  <c r="B31" i="5"/>
  <c r="F30" i="5"/>
  <c r="B30" i="5"/>
  <c r="B29" i="5"/>
  <c r="F28" i="5"/>
  <c r="B28" i="5"/>
  <c r="F27" i="5"/>
  <c r="F25" i="5"/>
  <c r="B25" i="5"/>
  <c r="F21" i="5"/>
  <c r="F20" i="5"/>
  <c r="B20" i="5"/>
  <c r="F19" i="5"/>
  <c r="F18" i="5"/>
  <c r="F17" i="5"/>
  <c r="B16" i="5"/>
  <c r="F14" i="5"/>
  <c r="F11" i="5"/>
  <c r="B11" i="5"/>
  <c r="F10" i="5"/>
  <c r="B10" i="5"/>
  <c r="F9" i="5"/>
  <c r="F8" i="5"/>
  <c r="B8" i="5"/>
  <c r="F6" i="5"/>
  <c r="B6" i="5"/>
  <c r="F5" i="5"/>
  <c r="B5" i="5"/>
  <c r="F4" i="5"/>
  <c r="F36" i="4"/>
  <c r="F35" i="4"/>
  <c r="F33" i="4"/>
  <c r="F32" i="4"/>
  <c r="F31" i="4"/>
  <c r="F30" i="4"/>
  <c r="B30" i="4"/>
  <c r="B29" i="4"/>
  <c r="F28" i="4"/>
  <c r="B28" i="4"/>
  <c r="F27" i="4"/>
  <c r="B25" i="4"/>
  <c r="F21" i="4"/>
  <c r="F20" i="4"/>
  <c r="B20" i="4"/>
  <c r="F19" i="4"/>
  <c r="F18" i="4"/>
  <c r="F17" i="4"/>
  <c r="B16" i="4"/>
  <c r="F14" i="4"/>
  <c r="F11" i="4"/>
  <c r="B11" i="4"/>
  <c r="F10" i="4"/>
  <c r="F9" i="4"/>
  <c r="F8" i="4"/>
  <c r="B8" i="4"/>
  <c r="F6" i="4"/>
  <c r="F5" i="4"/>
  <c r="B5" i="4"/>
  <c r="F4" i="4"/>
  <c r="F36" i="3"/>
  <c r="F35" i="3"/>
  <c r="F33" i="3"/>
  <c r="F32" i="3"/>
  <c r="F31" i="3"/>
  <c r="B31" i="3"/>
  <c r="F30" i="3"/>
  <c r="B30" i="3"/>
  <c r="B29" i="3"/>
  <c r="F28" i="3"/>
  <c r="B28" i="3"/>
  <c r="F27" i="3"/>
  <c r="B27" i="3"/>
  <c r="F26" i="3"/>
  <c r="B25" i="3"/>
  <c r="F21" i="3"/>
  <c r="F20" i="3"/>
  <c r="B20" i="3"/>
  <c r="F19" i="3"/>
  <c r="F18" i="3"/>
  <c r="F17" i="3"/>
  <c r="B16" i="3"/>
  <c r="F14" i="3"/>
  <c r="F11" i="3"/>
  <c r="B11" i="3"/>
  <c r="F10" i="3"/>
  <c r="F9" i="3"/>
  <c r="F8" i="3"/>
  <c r="B8" i="3"/>
  <c r="F6" i="3"/>
  <c r="B6" i="3"/>
  <c r="F5" i="3"/>
  <c r="B5" i="3"/>
  <c r="F4" i="3"/>
  <c r="F36" i="2"/>
  <c r="F35" i="2"/>
  <c r="F33" i="2"/>
  <c r="F32" i="2"/>
  <c r="B32" i="2"/>
  <c r="F31" i="2"/>
  <c r="B31" i="2"/>
  <c r="F30" i="2"/>
  <c r="B30" i="2"/>
  <c r="B29" i="2"/>
  <c r="F28" i="2"/>
  <c r="B28" i="2"/>
  <c r="F27" i="2"/>
  <c r="F25" i="2"/>
  <c r="B25" i="2"/>
  <c r="F21" i="2"/>
  <c r="F20" i="2"/>
  <c r="B20" i="2"/>
  <c r="F19" i="2"/>
  <c r="F18" i="2"/>
  <c r="F17" i="2"/>
  <c r="B16" i="2"/>
  <c r="F14" i="2"/>
  <c r="F11" i="2"/>
  <c r="B11" i="2"/>
  <c r="F10" i="2"/>
  <c r="F9" i="2"/>
  <c r="F8" i="2"/>
  <c r="B8" i="2"/>
  <c r="F6" i="2"/>
  <c r="B6" i="2"/>
  <c r="F5" i="2"/>
  <c r="B5" i="2"/>
  <c r="F4" i="2"/>
  <c r="F36" i="1"/>
  <c r="F35" i="1"/>
  <c r="F33" i="1"/>
  <c r="F32" i="1"/>
  <c r="F31" i="1"/>
  <c r="B31" i="1"/>
  <c r="F30" i="1"/>
  <c r="B30" i="1"/>
  <c r="B29" i="1"/>
  <c r="F28" i="1"/>
  <c r="B28" i="1"/>
  <c r="F27" i="1"/>
  <c r="F26" i="1"/>
  <c r="F25" i="1"/>
  <c r="B25" i="1"/>
  <c r="F21" i="1"/>
  <c r="F20" i="1"/>
  <c r="B20" i="1"/>
  <c r="F19" i="1"/>
  <c r="F18" i="1"/>
  <c r="F17" i="1"/>
  <c r="B16" i="1"/>
  <c r="F14" i="1"/>
  <c r="F11" i="1"/>
  <c r="B11" i="1"/>
  <c r="F10" i="1"/>
  <c r="F9" i="1"/>
  <c r="F8" i="1"/>
  <c r="B8" i="1"/>
  <c r="F6" i="1"/>
  <c r="B6" i="1"/>
  <c r="F5" i="1"/>
  <c r="B5" i="1"/>
  <c r="F4" i="1"/>
  <c r="B4" i="1"/>
</calcChain>
</file>

<file path=xl/sharedStrings.xml><?xml version="1.0" encoding="utf-8"?>
<sst xmlns="http://schemas.openxmlformats.org/spreadsheetml/2006/main" count="1653" uniqueCount="135">
  <si>
    <t xml:space="preserve">            Community Collaborative Rain, Hail and Snow Network (CoCoRAHS)</t>
  </si>
  <si>
    <t>January 2024</t>
  </si>
  <si>
    <t>Ave. Total Precip.</t>
  </si>
  <si>
    <t># Stations</t>
  </si>
  <si>
    <t>Autauga</t>
  </si>
  <si>
    <t>Houston</t>
  </si>
  <si>
    <t>Normal January Precipitation*</t>
  </si>
  <si>
    <t>Baldwin</t>
  </si>
  <si>
    <t>Jackson</t>
  </si>
  <si>
    <t>Abbeville</t>
  </si>
  <si>
    <t>Barbour</t>
  </si>
  <si>
    <t>Jefferson</t>
  </si>
  <si>
    <t>Alberta</t>
  </si>
  <si>
    <t xml:space="preserve">Bibb </t>
  </si>
  <si>
    <t>n.a.</t>
  </si>
  <si>
    <t>Lamar</t>
  </si>
  <si>
    <t>Alex City</t>
  </si>
  <si>
    <t xml:space="preserve">Blount </t>
  </si>
  <si>
    <t>Lauderdale</t>
  </si>
  <si>
    <t>Aliceville</t>
  </si>
  <si>
    <t>Bullock</t>
  </si>
  <si>
    <t>Lawrence</t>
  </si>
  <si>
    <t>Andalusia</t>
  </si>
  <si>
    <t>Butler</t>
  </si>
  <si>
    <t>Lee</t>
  </si>
  <si>
    <t>Ashland</t>
  </si>
  <si>
    <t>Calhoun</t>
  </si>
  <si>
    <t>Limestone</t>
  </si>
  <si>
    <t>Athens</t>
  </si>
  <si>
    <t>Chambers</t>
  </si>
  <si>
    <t>Lowndes</t>
  </si>
  <si>
    <t>Bay Minette</t>
  </si>
  <si>
    <t>Cherokee</t>
  </si>
  <si>
    <t>Macon</t>
  </si>
  <si>
    <t>Bessemer</t>
  </si>
  <si>
    <t>Chilton</t>
  </si>
  <si>
    <t>Madison</t>
  </si>
  <si>
    <t>Billingsly</t>
  </si>
  <si>
    <t>Choctaw</t>
  </si>
  <si>
    <t>Marengo</t>
  </si>
  <si>
    <t>Centreville WSMO</t>
  </si>
  <si>
    <t>Clarke</t>
  </si>
  <si>
    <t>Marion</t>
  </si>
  <si>
    <t>Chatom</t>
  </si>
  <si>
    <t>Clay</t>
  </si>
  <si>
    <t>Marshall</t>
  </si>
  <si>
    <t>Claiborne L&amp;D</t>
  </si>
  <si>
    <t>Cleburne</t>
  </si>
  <si>
    <t>Mobile</t>
  </si>
  <si>
    <t>Clayton</t>
  </si>
  <si>
    <t>Coffee</t>
  </si>
  <si>
    <t>Monroe</t>
  </si>
  <si>
    <t>Dauphin Isl.</t>
  </si>
  <si>
    <t>Colbert</t>
  </si>
  <si>
    <t>Montgomery</t>
  </si>
  <si>
    <t>Elba</t>
  </si>
  <si>
    <t>Conecuh</t>
  </si>
  <si>
    <t>Morgan</t>
  </si>
  <si>
    <t>Eufaula WR</t>
  </si>
  <si>
    <t>Coosa</t>
  </si>
  <si>
    <t>Perry</t>
  </si>
  <si>
    <t>n.a</t>
  </si>
  <si>
    <t>Evergreen</t>
  </si>
  <si>
    <t xml:space="preserve">Covington </t>
  </si>
  <si>
    <t>Pickens</t>
  </si>
  <si>
    <t>Fayette</t>
  </si>
  <si>
    <t>Crenshaw</t>
  </si>
  <si>
    <t>Pike</t>
  </si>
  <si>
    <t>Geneva 2</t>
  </si>
  <si>
    <t>Cullman</t>
  </si>
  <si>
    <t>Randolph</t>
  </si>
  <si>
    <t>Greenville</t>
  </si>
  <si>
    <t>Dale</t>
  </si>
  <si>
    <t>Russell</t>
  </si>
  <si>
    <t>Haleyville</t>
  </si>
  <si>
    <t>Dallas</t>
  </si>
  <si>
    <t>St. Clair</t>
  </si>
  <si>
    <t>Hamilton 3S</t>
  </si>
  <si>
    <t>DeKalb</t>
  </si>
  <si>
    <t>Shelby</t>
  </si>
  <si>
    <t>Heflin</t>
  </si>
  <si>
    <t>Elmore</t>
  </si>
  <si>
    <t>Sumter</t>
  </si>
  <si>
    <t>Hurtsboro</t>
  </si>
  <si>
    <t>Escambia</t>
  </si>
  <si>
    <t>Talladega</t>
  </si>
  <si>
    <t>Jasper</t>
  </si>
  <si>
    <t>Etowah</t>
  </si>
  <si>
    <t>Tallapoosa</t>
  </si>
  <si>
    <t>Lafayette</t>
  </si>
  <si>
    <t>Tuscaloosa</t>
  </si>
  <si>
    <t>Livingston</t>
  </si>
  <si>
    <t>Franklin</t>
  </si>
  <si>
    <t>Walker</t>
  </si>
  <si>
    <t>Melvin</t>
  </si>
  <si>
    <t>Geneva</t>
  </si>
  <si>
    <t>Washington</t>
  </si>
  <si>
    <t>Milstead</t>
  </si>
  <si>
    <t>Greene</t>
  </si>
  <si>
    <t>Wilcox</t>
  </si>
  <si>
    <t>Moulton</t>
  </si>
  <si>
    <t>Hale</t>
  </si>
  <si>
    <t>Winston</t>
  </si>
  <si>
    <t>Oneonta</t>
  </si>
  <si>
    <t>Henry</t>
  </si>
  <si>
    <t>Perryville</t>
  </si>
  <si>
    <t>Plantersville</t>
  </si>
  <si>
    <t>Rock Mills</t>
  </si>
  <si>
    <t>Rockford</t>
  </si>
  <si>
    <t>Sylacauga</t>
  </si>
  <si>
    <t>Union Springs</t>
  </si>
  <si>
    <t>Uniontown</t>
  </si>
  <si>
    <t>Vernon</t>
  </si>
  <si>
    <t>Warrior L&amp;D</t>
  </si>
  <si>
    <t>Wetumpka</t>
  </si>
  <si>
    <t>February 2024</t>
  </si>
  <si>
    <t>Normal February Precipitation*</t>
  </si>
  <si>
    <t>March 2023</t>
  </si>
  <si>
    <t>Normal March Precipitation*</t>
  </si>
  <si>
    <t>April 2023</t>
  </si>
  <si>
    <t>May 2023</t>
  </si>
  <si>
    <t>Normal May Precipitation*</t>
  </si>
  <si>
    <t>June 2023</t>
  </si>
  <si>
    <t>Normal June Precipitation*</t>
  </si>
  <si>
    <t>July 2023</t>
  </si>
  <si>
    <t>Normal July Precipitation*</t>
  </si>
  <si>
    <t>August 2023</t>
  </si>
  <si>
    <t>Normal August Precipitation*</t>
  </si>
  <si>
    <t>September 2023</t>
  </si>
  <si>
    <t>Normal Precipitation*</t>
  </si>
  <si>
    <t>October 2023</t>
  </si>
  <si>
    <t>November 2023</t>
  </si>
  <si>
    <t>Normal November Precipitation*</t>
  </si>
  <si>
    <t>December 2023</t>
  </si>
  <si>
    <t>Normal December Precipitation*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</si>
</sst>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i/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 (Body)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DDB6"/>
        <bgColor rgb="FFFADDB6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horizontal="center" wrapText="1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2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>
      <selection activeCell="AC35" sqref="AC35"/>
    </sheetView>
  </sheetViews>
  <sheetFormatPr baseColWidth="10" defaultColWidth="14.5" defaultRowHeight="15" customHeight="1" x14ac:dyDescent="0.2"/>
  <cols>
    <col min="1" max="1" width="13.5" style="40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ht="19" x14ac:dyDescent="0.25">
      <c r="A1" s="37" t="s">
        <v>0</v>
      </c>
      <c r="B1" s="38"/>
      <c r="C1" s="38"/>
      <c r="D1" s="38"/>
      <c r="E1" s="38"/>
      <c r="F1" s="38"/>
      <c r="G1" s="38"/>
      <c r="H1" s="38"/>
    </row>
    <row r="2" spans="1:10" ht="31" customHeight="1" x14ac:dyDescent="0.25">
      <c r="A2" s="39" t="s">
        <v>1</v>
      </c>
      <c r="B2" s="38"/>
      <c r="C2" s="38"/>
      <c r="D2" s="38"/>
      <c r="E2" s="38"/>
      <c r="F2" s="38"/>
      <c r="G2" s="38"/>
      <c r="H2" s="38"/>
    </row>
    <row r="3" spans="1:10" ht="16" x14ac:dyDescent="0.2">
      <c r="B3" s="2" t="s">
        <v>2</v>
      </c>
      <c r="C3" s="1" t="s">
        <v>3</v>
      </c>
      <c r="F3" s="3" t="s">
        <v>2</v>
      </c>
      <c r="G3" s="1" t="s">
        <v>3</v>
      </c>
    </row>
    <row r="4" spans="1:10" ht="32" x14ac:dyDescent="0.2">
      <c r="A4" s="41" t="s">
        <v>4</v>
      </c>
      <c r="B4" s="5">
        <f>(10.96+4.67)/2</f>
        <v>7.8150000000000004</v>
      </c>
      <c r="C4" s="6">
        <v>2</v>
      </c>
      <c r="E4" s="41" t="s">
        <v>5</v>
      </c>
      <c r="F4" s="7">
        <f>(6.99+8.59)/2</f>
        <v>7.79</v>
      </c>
      <c r="G4" s="6">
        <v>2</v>
      </c>
      <c r="I4" s="8" t="s">
        <v>6</v>
      </c>
    </row>
    <row r="5" spans="1:10" x14ac:dyDescent="0.2">
      <c r="A5" s="41" t="s">
        <v>7</v>
      </c>
      <c r="B5" s="9">
        <f>(6.72+4.55+5.04+5.48+4.67+4.6+6.53+4.35+6.82+6.31+4.12+6.32+5.09+3.43+3.95+6.3+5.29+4.62+2.75+3.79+3.93+5.02+4.49+4.23+4.9+3.35+5.07+4.28+4.54+4.81+4.38+4.8+4.23+4.23+4.76+4.2)/36</f>
        <v>4.7763888888888886</v>
      </c>
      <c r="C5" s="10">
        <v>36</v>
      </c>
      <c r="E5" s="41" t="s">
        <v>8</v>
      </c>
      <c r="F5" s="11">
        <f>(7+6.62+6.99+5.92+6.06+7.18)/6</f>
        <v>6.6283333333333339</v>
      </c>
      <c r="G5" s="10">
        <v>6</v>
      </c>
      <c r="I5" s="42" t="s">
        <v>9</v>
      </c>
      <c r="J5" s="7">
        <v>5.3</v>
      </c>
    </row>
    <row r="6" spans="1:10" x14ac:dyDescent="0.2">
      <c r="A6" s="41" t="s">
        <v>10</v>
      </c>
      <c r="B6" s="9">
        <f>(5.75+4.36)/2</f>
        <v>5.0549999999999997</v>
      </c>
      <c r="C6" s="10">
        <v>2</v>
      </c>
      <c r="E6" s="41" t="s">
        <v>11</v>
      </c>
      <c r="F6" s="11">
        <f>(7.13+7.12+7.44+7.49+7.12+7.51+7.01+3.24+6.97+9.34+6.89+7.64+7.19+7.6+7.59+7.31)/16</f>
        <v>7.1618749999999993</v>
      </c>
      <c r="G6" s="10">
        <v>16</v>
      </c>
      <c r="I6" s="42" t="s">
        <v>12</v>
      </c>
      <c r="J6" s="7">
        <v>4.84</v>
      </c>
    </row>
    <row r="7" spans="1:10" x14ac:dyDescent="0.2">
      <c r="A7" s="41" t="s">
        <v>13</v>
      </c>
      <c r="B7" s="5" t="s">
        <v>14</v>
      </c>
      <c r="C7" s="6">
        <v>0</v>
      </c>
      <c r="E7" s="41" t="s">
        <v>15</v>
      </c>
      <c r="F7" s="12">
        <v>7.81</v>
      </c>
      <c r="G7" s="13">
        <v>1</v>
      </c>
      <c r="I7" s="42" t="s">
        <v>16</v>
      </c>
      <c r="J7" s="7">
        <v>5.69</v>
      </c>
    </row>
    <row r="8" spans="1:10" x14ac:dyDescent="0.2">
      <c r="A8" s="41" t="s">
        <v>17</v>
      </c>
      <c r="B8" s="5">
        <f>(7.54+7.08+7.85+4.94+7.06+6.45)/6</f>
        <v>6.82</v>
      </c>
      <c r="C8" s="6">
        <v>6</v>
      </c>
      <c r="E8" s="41" t="s">
        <v>18</v>
      </c>
      <c r="F8" s="7">
        <f>(7.41+8.83+8.63+6.3+2+4.87+9.1+6.59+10.13)/9</f>
        <v>7.0955555555555563</v>
      </c>
      <c r="G8" s="6">
        <v>9</v>
      </c>
      <c r="I8" s="42" t="s">
        <v>19</v>
      </c>
      <c r="J8" s="7">
        <v>5.3</v>
      </c>
    </row>
    <row r="9" spans="1:10" x14ac:dyDescent="0.2">
      <c r="A9" s="41" t="s">
        <v>20</v>
      </c>
      <c r="B9" s="9" t="s">
        <v>14</v>
      </c>
      <c r="C9" s="10">
        <v>0</v>
      </c>
      <c r="E9" s="41" t="s">
        <v>21</v>
      </c>
      <c r="F9" s="11">
        <f>(7.91+0.37+6.13+5.04)/4</f>
        <v>4.8624999999999998</v>
      </c>
      <c r="G9" s="10">
        <v>4</v>
      </c>
      <c r="I9" s="42" t="s">
        <v>22</v>
      </c>
      <c r="J9" s="7">
        <v>5.17</v>
      </c>
    </row>
    <row r="10" spans="1:10" x14ac:dyDescent="0.2">
      <c r="A10" s="41" t="s">
        <v>23</v>
      </c>
      <c r="B10" s="9">
        <v>8.64</v>
      </c>
      <c r="C10" s="10">
        <v>1</v>
      </c>
      <c r="E10" s="41" t="s">
        <v>24</v>
      </c>
      <c r="F10" s="11">
        <f>(8.3+7.79+10.02+7.1+0)/5</f>
        <v>6.6420000000000003</v>
      </c>
      <c r="G10" s="10">
        <v>5</v>
      </c>
      <c r="I10" s="42" t="s">
        <v>25</v>
      </c>
      <c r="J10" s="7">
        <v>5.48</v>
      </c>
    </row>
    <row r="11" spans="1:10" x14ac:dyDescent="0.2">
      <c r="A11" s="41" t="s">
        <v>26</v>
      </c>
      <c r="B11" s="5">
        <f>(8.51+9.06)/2</f>
        <v>8.7850000000000001</v>
      </c>
      <c r="C11" s="6">
        <v>2</v>
      </c>
      <c r="E11" s="41" t="s">
        <v>27</v>
      </c>
      <c r="F11" s="7">
        <f>(8.21+8.96+7.91+7.71+7.09+6.95+8.5+0)/8</f>
        <v>6.9162499999999998</v>
      </c>
      <c r="G11" s="6">
        <v>8</v>
      </c>
      <c r="I11" s="42" t="s">
        <v>28</v>
      </c>
      <c r="J11" s="7">
        <v>6.06</v>
      </c>
    </row>
    <row r="12" spans="1:10" x14ac:dyDescent="0.2">
      <c r="A12" s="41" t="s">
        <v>29</v>
      </c>
      <c r="B12" s="5" t="s">
        <v>14</v>
      </c>
      <c r="C12" s="6">
        <v>0</v>
      </c>
      <c r="E12" s="41" t="s">
        <v>30</v>
      </c>
      <c r="F12" s="5" t="s">
        <v>14</v>
      </c>
      <c r="G12" s="6">
        <v>0</v>
      </c>
      <c r="I12" s="42" t="s">
        <v>31</v>
      </c>
      <c r="J12" s="7">
        <v>5.43</v>
      </c>
    </row>
    <row r="13" spans="1:10" x14ac:dyDescent="0.2">
      <c r="A13" s="41" t="s">
        <v>32</v>
      </c>
      <c r="B13" s="9" t="s">
        <v>14</v>
      </c>
      <c r="C13" s="10">
        <v>0</v>
      </c>
      <c r="E13" s="41" t="s">
        <v>33</v>
      </c>
      <c r="F13" s="9" t="s">
        <v>14</v>
      </c>
      <c r="G13" s="10">
        <v>0</v>
      </c>
      <c r="I13" s="42" t="s">
        <v>34</v>
      </c>
      <c r="J13" s="7">
        <v>5.34</v>
      </c>
    </row>
    <row r="14" spans="1:10" x14ac:dyDescent="0.2">
      <c r="A14" s="41" t="s">
        <v>35</v>
      </c>
      <c r="B14" s="9">
        <v>9.91</v>
      </c>
      <c r="C14" s="10">
        <v>1</v>
      </c>
      <c r="E14" s="41" t="s">
        <v>36</v>
      </c>
      <c r="F14" s="11">
        <f>(6.24+7.55+6.46+6.63+6.94+5.77+7.24+3.61+7.69+7.64+6.13+5.76+7.64+6.84+7.74+6.75+6.59+6.96+8.44+5.38+6.61+6.78+6.6+7.66+2.26+6.79)/26</f>
        <v>6.5653846153846152</v>
      </c>
      <c r="G14" s="10">
        <v>26</v>
      </c>
      <c r="I14" s="42" t="s">
        <v>37</v>
      </c>
      <c r="J14" s="7">
        <v>4.9800000000000004</v>
      </c>
    </row>
    <row r="15" spans="1:10" x14ac:dyDescent="0.2">
      <c r="A15" s="41" t="s">
        <v>38</v>
      </c>
      <c r="B15" s="5">
        <v>7.81</v>
      </c>
      <c r="C15" s="6">
        <v>1</v>
      </c>
      <c r="E15" s="41" t="s">
        <v>39</v>
      </c>
      <c r="F15" s="5" t="s">
        <v>14</v>
      </c>
      <c r="G15" s="6">
        <v>0</v>
      </c>
      <c r="I15" s="42" t="s">
        <v>40</v>
      </c>
      <c r="J15" s="7">
        <v>5.63</v>
      </c>
    </row>
    <row r="16" spans="1:10" x14ac:dyDescent="0.2">
      <c r="A16" s="41" t="s">
        <v>41</v>
      </c>
      <c r="B16" s="5">
        <f>(12.94+4.25+9.7)/3</f>
        <v>8.9633333333333329</v>
      </c>
      <c r="C16" s="6">
        <v>3</v>
      </c>
      <c r="E16" s="41" t="s">
        <v>42</v>
      </c>
      <c r="F16" s="7">
        <v>8.31</v>
      </c>
      <c r="G16" s="6">
        <v>1</v>
      </c>
      <c r="I16" s="42" t="s">
        <v>43</v>
      </c>
      <c r="J16" s="7">
        <v>5.45</v>
      </c>
    </row>
    <row r="17" spans="1:10" x14ac:dyDescent="0.2">
      <c r="A17" s="41" t="s">
        <v>44</v>
      </c>
      <c r="B17" s="9">
        <v>9.73</v>
      </c>
      <c r="C17" s="10">
        <v>1</v>
      </c>
      <c r="E17" s="41" t="s">
        <v>45</v>
      </c>
      <c r="F17" s="11">
        <f>(6.43+5.83+6.02+3.24+5.89+6.73+5.82+5.25+9.4+5.35+6.51)/11</f>
        <v>6.0427272727272729</v>
      </c>
      <c r="G17" s="10">
        <v>11</v>
      </c>
      <c r="I17" s="42" t="s">
        <v>46</v>
      </c>
      <c r="J17" s="7">
        <v>5.49</v>
      </c>
    </row>
    <row r="18" spans="1:10" x14ac:dyDescent="0.2">
      <c r="A18" s="41" t="s">
        <v>47</v>
      </c>
      <c r="B18" s="9" t="s">
        <v>14</v>
      </c>
      <c r="C18" s="10">
        <v>0</v>
      </c>
      <c r="E18" s="41" t="s">
        <v>48</v>
      </c>
      <c r="F18" s="11">
        <f>(7.3+7.82+7.59+7.48+6.73+5.25+7.99+8.35+7.9+7.07+5.46+6.78+6.73+6.22+6.41+7.83+7.13+8.72+7.19+6.4+7.18+8.02+6.45+6.53+6.64)/25</f>
        <v>7.0868000000000002</v>
      </c>
      <c r="G18" s="10">
        <v>25</v>
      </c>
      <c r="I18" s="42" t="s">
        <v>49</v>
      </c>
      <c r="J18" s="7">
        <v>4.91</v>
      </c>
    </row>
    <row r="19" spans="1:10" x14ac:dyDescent="0.2">
      <c r="A19" s="41" t="s">
        <v>50</v>
      </c>
      <c r="B19" s="5" t="s">
        <v>14</v>
      </c>
      <c r="C19" s="6">
        <v>0</v>
      </c>
      <c r="E19" s="41" t="s">
        <v>51</v>
      </c>
      <c r="F19" s="7">
        <f>(7.86+8.5+8.32+8.35)/4</f>
        <v>8.2575000000000003</v>
      </c>
      <c r="G19" s="6">
        <v>4</v>
      </c>
      <c r="I19" s="42" t="s">
        <v>52</v>
      </c>
      <c r="J19" s="7">
        <v>5.86</v>
      </c>
    </row>
    <row r="20" spans="1:10" x14ac:dyDescent="0.2">
      <c r="A20" s="41" t="s">
        <v>53</v>
      </c>
      <c r="B20" s="5">
        <f>(6.41+8.61+8.77+9.1+10.04)/5</f>
        <v>8.5860000000000003</v>
      </c>
      <c r="C20" s="6">
        <v>5</v>
      </c>
      <c r="E20" s="41" t="s">
        <v>54</v>
      </c>
      <c r="F20" s="7">
        <f>(7.89+9.43+7.39+8.14)/4</f>
        <v>8.2125000000000004</v>
      </c>
      <c r="G20" s="6">
        <v>4</v>
      </c>
      <c r="I20" s="42" t="s">
        <v>55</v>
      </c>
      <c r="J20" s="7">
        <v>5.08</v>
      </c>
    </row>
    <row r="21" spans="1:10" ht="15.75" customHeight="1" x14ac:dyDescent="0.2">
      <c r="A21" s="41" t="s">
        <v>56</v>
      </c>
      <c r="B21" s="9" t="s">
        <v>14</v>
      </c>
      <c r="C21" s="10">
        <v>0</v>
      </c>
      <c r="E21" s="41" t="s">
        <v>57</v>
      </c>
      <c r="F21" s="11">
        <f>(6+5.26+6.21+6.86+6.22+7.17+7.02+6.48+6.87)/9</f>
        <v>6.4544444444444444</v>
      </c>
      <c r="G21" s="10">
        <v>9</v>
      </c>
      <c r="I21" s="42" t="s">
        <v>58</v>
      </c>
      <c r="J21" s="7">
        <v>5.2</v>
      </c>
    </row>
    <row r="22" spans="1:10" ht="15.75" customHeight="1" x14ac:dyDescent="0.2">
      <c r="A22" s="41" t="s">
        <v>59</v>
      </c>
      <c r="B22" s="9" t="s">
        <v>14</v>
      </c>
      <c r="C22" s="10">
        <v>0</v>
      </c>
      <c r="E22" s="41" t="s">
        <v>60</v>
      </c>
      <c r="F22" s="9" t="s">
        <v>61</v>
      </c>
      <c r="G22" s="10">
        <v>0</v>
      </c>
      <c r="I22" s="42" t="s">
        <v>62</v>
      </c>
      <c r="J22" s="7">
        <v>5.55</v>
      </c>
    </row>
    <row r="23" spans="1:10" ht="15.75" customHeight="1" x14ac:dyDescent="0.2">
      <c r="A23" s="41" t="s">
        <v>63</v>
      </c>
      <c r="B23" s="5">
        <v>6.49</v>
      </c>
      <c r="C23" s="6">
        <v>1</v>
      </c>
      <c r="E23" s="41" t="s">
        <v>64</v>
      </c>
      <c r="F23" s="5" t="s">
        <v>61</v>
      </c>
      <c r="G23" s="6">
        <v>0</v>
      </c>
      <c r="I23" s="42" t="s">
        <v>65</v>
      </c>
      <c r="J23" s="7">
        <v>5.75</v>
      </c>
    </row>
    <row r="24" spans="1:10" ht="15.75" customHeight="1" x14ac:dyDescent="0.2">
      <c r="A24" s="41" t="s">
        <v>66</v>
      </c>
      <c r="B24" s="5" t="s">
        <v>14</v>
      </c>
      <c r="C24" s="6">
        <v>0</v>
      </c>
      <c r="E24" s="41" t="s">
        <v>67</v>
      </c>
      <c r="F24" s="5" t="s">
        <v>61</v>
      </c>
      <c r="G24" s="6">
        <v>0</v>
      </c>
      <c r="I24" s="42" t="s">
        <v>68</v>
      </c>
      <c r="J24" s="7">
        <v>6.43</v>
      </c>
    </row>
    <row r="25" spans="1:10" ht="15.75" customHeight="1" x14ac:dyDescent="0.2">
      <c r="A25" s="41" t="s">
        <v>69</v>
      </c>
      <c r="B25" s="9">
        <f>(7.23+6.18+7.61)/3</f>
        <v>7.0066666666666668</v>
      </c>
      <c r="C25" s="10">
        <v>3</v>
      </c>
      <c r="E25" s="41" t="s">
        <v>70</v>
      </c>
      <c r="F25" s="11">
        <f>(7.64+4.13)/2</f>
        <v>5.8849999999999998</v>
      </c>
      <c r="G25" s="10">
        <v>2</v>
      </c>
      <c r="I25" s="42" t="s">
        <v>71</v>
      </c>
      <c r="J25" s="7">
        <v>4.9800000000000004</v>
      </c>
    </row>
    <row r="26" spans="1:10" ht="15.75" customHeight="1" x14ac:dyDescent="0.2">
      <c r="A26" s="41" t="s">
        <v>72</v>
      </c>
      <c r="B26" s="9" t="s">
        <v>14</v>
      </c>
      <c r="C26" s="10">
        <v>0</v>
      </c>
      <c r="E26" s="41" t="s">
        <v>73</v>
      </c>
      <c r="F26" s="11">
        <f>(7.65)/1</f>
        <v>7.65</v>
      </c>
      <c r="G26" s="10">
        <v>1</v>
      </c>
      <c r="I26" s="42" t="s">
        <v>74</v>
      </c>
      <c r="J26" s="7">
        <v>5.79</v>
      </c>
    </row>
    <row r="27" spans="1:10" ht="15.75" customHeight="1" x14ac:dyDescent="0.2">
      <c r="A27" s="41" t="s">
        <v>75</v>
      </c>
      <c r="B27" s="5">
        <v>10.119999999999999</v>
      </c>
      <c r="C27" s="6">
        <v>1</v>
      </c>
      <c r="E27" s="41" t="s">
        <v>76</v>
      </c>
      <c r="F27" s="7">
        <f>(8.57+7.2+5.88+7.85+7.01+7.96)/6</f>
        <v>7.4116666666666662</v>
      </c>
      <c r="G27" s="6">
        <v>6</v>
      </c>
      <c r="I27" s="42" t="s">
        <v>77</v>
      </c>
      <c r="J27" s="7">
        <v>5.31</v>
      </c>
    </row>
    <row r="28" spans="1:10" ht="15.75" customHeight="1" x14ac:dyDescent="0.2">
      <c r="A28" s="41" t="s">
        <v>78</v>
      </c>
      <c r="B28" s="5">
        <f>(6.78+7.14+6.52+6.64+7.44+7.95+8.53)/7</f>
        <v>7.2857142857142856</v>
      </c>
      <c r="C28" s="6">
        <v>7</v>
      </c>
      <c r="E28" s="41" t="s">
        <v>79</v>
      </c>
      <c r="F28" s="12">
        <f>(7.7+8.12+9.91+8.35+10.53+8.49+10.14+8.68+8.01+6.35+7.8+8.04+10.66+3.71+6.83+9.29+0+4.09)/18</f>
        <v>7.5944444444444441</v>
      </c>
      <c r="G28" s="6">
        <v>18</v>
      </c>
      <c r="I28" s="42" t="s">
        <v>80</v>
      </c>
      <c r="J28" s="7">
        <v>5.31</v>
      </c>
    </row>
    <row r="29" spans="1:10" ht="15.75" customHeight="1" x14ac:dyDescent="0.2">
      <c r="A29" s="41" t="s">
        <v>81</v>
      </c>
      <c r="B29" s="9">
        <f t="shared" ref="B29:B30" si="0">(11.33+10.84+11.94+9.29)/4</f>
        <v>10.85</v>
      </c>
      <c r="C29" s="10">
        <v>4</v>
      </c>
      <c r="E29" s="41" t="s">
        <v>82</v>
      </c>
      <c r="F29" s="9" t="s">
        <v>14</v>
      </c>
      <c r="G29" s="10">
        <v>0</v>
      </c>
      <c r="I29" s="42" t="s">
        <v>83</v>
      </c>
      <c r="J29" s="7">
        <v>4.8899999999999997</v>
      </c>
    </row>
    <row r="30" spans="1:10" ht="15.75" customHeight="1" x14ac:dyDescent="0.2">
      <c r="A30" s="41" t="s">
        <v>84</v>
      </c>
      <c r="B30" s="9">
        <f t="shared" si="0"/>
        <v>10.85</v>
      </c>
      <c r="C30" s="10">
        <v>4</v>
      </c>
      <c r="E30" s="41" t="s">
        <v>85</v>
      </c>
      <c r="F30" s="11">
        <f>(9.98+9.39)/2</f>
        <v>9.6850000000000005</v>
      </c>
      <c r="G30" s="10">
        <v>2</v>
      </c>
      <c r="I30" s="42" t="s">
        <v>86</v>
      </c>
      <c r="J30" s="7">
        <v>5.71</v>
      </c>
    </row>
    <row r="31" spans="1:10" ht="15.75" customHeight="1" x14ac:dyDescent="0.2">
      <c r="A31" s="41" t="s">
        <v>87</v>
      </c>
      <c r="B31" s="5">
        <f>(9.3+8.79)/2</f>
        <v>9.0449999999999999</v>
      </c>
      <c r="C31" s="6">
        <v>2</v>
      </c>
      <c r="E31" s="41" t="s">
        <v>88</v>
      </c>
      <c r="F31" s="7">
        <f>(9.26+5.36)/2</f>
        <v>7.3100000000000005</v>
      </c>
      <c r="G31" s="6">
        <v>2</v>
      </c>
      <c r="I31" s="42" t="s">
        <v>89</v>
      </c>
      <c r="J31" s="7">
        <v>5.19</v>
      </c>
    </row>
    <row r="32" spans="1:10" ht="15.75" customHeight="1" x14ac:dyDescent="0.2">
      <c r="A32" s="41" t="s">
        <v>65</v>
      </c>
      <c r="B32" s="5">
        <v>8.94</v>
      </c>
      <c r="C32" s="6">
        <v>1</v>
      </c>
      <c r="E32" s="41" t="s">
        <v>90</v>
      </c>
      <c r="F32" s="7">
        <f>(7.99+7.61+9.23+7.82+8.49+0.68)/6</f>
        <v>6.9700000000000015</v>
      </c>
      <c r="G32" s="6">
        <v>6</v>
      </c>
      <c r="I32" s="42" t="s">
        <v>91</v>
      </c>
      <c r="J32" s="7">
        <v>4.7699999999999996</v>
      </c>
    </row>
    <row r="33" spans="1:10" ht="15.75" customHeight="1" x14ac:dyDescent="0.2">
      <c r="A33" s="41" t="s">
        <v>92</v>
      </c>
      <c r="B33" s="9" t="s">
        <v>14</v>
      </c>
      <c r="C33" s="10">
        <v>0</v>
      </c>
      <c r="E33" s="41" t="s">
        <v>93</v>
      </c>
      <c r="F33" s="9">
        <f>(10.67+7.24)/2</f>
        <v>8.9550000000000001</v>
      </c>
      <c r="G33" s="10">
        <v>2</v>
      </c>
      <c r="I33" s="42" t="s">
        <v>94</v>
      </c>
      <c r="J33" s="7">
        <v>5.25</v>
      </c>
    </row>
    <row r="34" spans="1:10" ht="15.75" customHeight="1" x14ac:dyDescent="0.2">
      <c r="A34" s="41" t="s">
        <v>95</v>
      </c>
      <c r="B34" s="9">
        <v>8.94</v>
      </c>
      <c r="C34" s="10">
        <v>1</v>
      </c>
      <c r="E34" s="41" t="s">
        <v>96</v>
      </c>
      <c r="F34" s="11">
        <v>13.54</v>
      </c>
      <c r="G34" s="10">
        <v>1</v>
      </c>
      <c r="I34" s="42" t="s">
        <v>97</v>
      </c>
      <c r="J34" s="7">
        <v>4.8499999999999996</v>
      </c>
    </row>
    <row r="35" spans="1:10" ht="15.75" customHeight="1" x14ac:dyDescent="0.2">
      <c r="A35" s="41" t="s">
        <v>98</v>
      </c>
      <c r="B35" s="5" t="s">
        <v>14</v>
      </c>
      <c r="C35" s="6">
        <v>0</v>
      </c>
      <c r="E35" s="41" t="s">
        <v>99</v>
      </c>
      <c r="F35" s="7">
        <f>(9.52+13.22)/2</f>
        <v>11.370000000000001</v>
      </c>
      <c r="G35" s="6">
        <v>2</v>
      </c>
      <c r="I35" s="42" t="s">
        <v>100</v>
      </c>
      <c r="J35" s="7">
        <v>5.03</v>
      </c>
    </row>
    <row r="36" spans="1:10" ht="15.75" customHeight="1" x14ac:dyDescent="0.2">
      <c r="A36" s="41" t="s">
        <v>101</v>
      </c>
      <c r="B36" s="5" t="s">
        <v>14</v>
      </c>
      <c r="C36" s="6">
        <v>0</v>
      </c>
      <c r="E36" s="41" t="s">
        <v>102</v>
      </c>
      <c r="F36" s="7">
        <f>(8.09+4.83+7.12)/3</f>
        <v>6.68</v>
      </c>
      <c r="G36" s="6">
        <v>3</v>
      </c>
      <c r="I36" s="42" t="s">
        <v>103</v>
      </c>
      <c r="J36" s="7">
        <v>5.39</v>
      </c>
    </row>
    <row r="37" spans="1:10" ht="15.75" customHeight="1" x14ac:dyDescent="0.2">
      <c r="A37" s="41" t="s">
        <v>104</v>
      </c>
      <c r="B37" s="9" t="s">
        <v>14</v>
      </c>
      <c r="C37" s="10">
        <v>0</v>
      </c>
      <c r="I37" s="42" t="s">
        <v>105</v>
      </c>
      <c r="J37" s="7">
        <v>5</v>
      </c>
    </row>
    <row r="38" spans="1:10" ht="15.75" customHeight="1" x14ac:dyDescent="0.2">
      <c r="B38" s="14"/>
      <c r="I38" s="42" t="s">
        <v>106</v>
      </c>
      <c r="J38" s="7">
        <v>5.26</v>
      </c>
    </row>
    <row r="39" spans="1:10" ht="15.75" customHeight="1" x14ac:dyDescent="0.2">
      <c r="B39" s="14"/>
      <c r="I39" s="42" t="s">
        <v>107</v>
      </c>
      <c r="J39" s="7">
        <v>5.39</v>
      </c>
    </row>
    <row r="40" spans="1:10" ht="15.75" customHeight="1" x14ac:dyDescent="0.2">
      <c r="B40" s="14"/>
      <c r="I40" s="42" t="s">
        <v>108</v>
      </c>
      <c r="J40" s="7">
        <v>5.54</v>
      </c>
    </row>
    <row r="41" spans="1:10" ht="15.75" customHeight="1" x14ac:dyDescent="0.2">
      <c r="B41" s="14"/>
      <c r="I41" s="42" t="s">
        <v>109</v>
      </c>
      <c r="J41" s="7">
        <v>5.14</v>
      </c>
    </row>
    <row r="42" spans="1:10" ht="15.75" customHeight="1" x14ac:dyDescent="0.2">
      <c r="B42" s="14"/>
      <c r="I42" s="42" t="s">
        <v>110</v>
      </c>
      <c r="J42" s="7">
        <v>4.7699999999999996</v>
      </c>
    </row>
    <row r="43" spans="1:10" ht="15.75" customHeight="1" x14ac:dyDescent="0.2">
      <c r="B43" s="14"/>
      <c r="I43" s="42" t="s">
        <v>111</v>
      </c>
      <c r="J43" s="7">
        <v>4.99</v>
      </c>
    </row>
    <row r="44" spans="1:10" ht="15.75" customHeight="1" x14ac:dyDescent="0.2">
      <c r="B44" s="14"/>
      <c r="I44" s="42" t="s">
        <v>112</v>
      </c>
      <c r="J44" s="7">
        <v>5.95</v>
      </c>
    </row>
    <row r="45" spans="1:10" ht="15.75" customHeight="1" x14ac:dyDescent="0.2">
      <c r="B45" s="14"/>
      <c r="I45" s="42" t="s">
        <v>113</v>
      </c>
      <c r="J45" s="7">
        <v>5.34</v>
      </c>
    </row>
    <row r="46" spans="1:10" ht="15.75" customHeight="1" x14ac:dyDescent="0.2">
      <c r="B46" s="14"/>
      <c r="I46" s="42" t="s">
        <v>114</v>
      </c>
      <c r="J46" s="7">
        <v>4.87</v>
      </c>
    </row>
    <row r="47" spans="1:10" ht="15.75" customHeight="1" x14ac:dyDescent="0.2">
      <c r="B47" s="14"/>
    </row>
    <row r="48" spans="1:10" ht="15.75" customHeight="1" x14ac:dyDescent="0.2">
      <c r="B48" s="14"/>
    </row>
    <row r="49" spans="2:2" ht="15.75" customHeight="1" x14ac:dyDescent="0.2">
      <c r="B49" s="14"/>
    </row>
    <row r="50" spans="2:2" ht="15.75" customHeight="1" x14ac:dyDescent="0.2">
      <c r="B50" s="14"/>
    </row>
    <row r="51" spans="2:2" ht="15.75" customHeight="1" x14ac:dyDescent="0.2">
      <c r="B51" s="14"/>
    </row>
    <row r="52" spans="2:2" ht="15.75" customHeight="1" x14ac:dyDescent="0.2">
      <c r="B52" s="14"/>
    </row>
    <row r="53" spans="2:2" ht="15.75" customHeight="1" x14ac:dyDescent="0.2">
      <c r="B53" s="14"/>
    </row>
    <row r="54" spans="2:2" ht="15.75" customHeight="1" x14ac:dyDescent="0.2">
      <c r="B54" s="14"/>
    </row>
    <row r="55" spans="2:2" ht="15.75" customHeight="1" x14ac:dyDescent="0.2">
      <c r="B55" s="14"/>
    </row>
    <row r="56" spans="2:2" ht="15.75" customHeight="1" x14ac:dyDescent="0.2">
      <c r="B56" s="14"/>
    </row>
    <row r="57" spans="2:2" ht="15.75" customHeight="1" x14ac:dyDescent="0.2">
      <c r="B57" s="14"/>
    </row>
    <row r="58" spans="2:2" ht="15.75" customHeight="1" x14ac:dyDescent="0.2">
      <c r="B58" s="14"/>
    </row>
    <row r="59" spans="2:2" ht="15.75" customHeight="1" x14ac:dyDescent="0.2">
      <c r="B59" s="14"/>
    </row>
    <row r="60" spans="2:2" ht="15.75" customHeight="1" x14ac:dyDescent="0.2">
      <c r="B60" s="14"/>
    </row>
    <row r="61" spans="2:2" ht="15.75" customHeight="1" x14ac:dyDescent="0.2">
      <c r="B61" s="14"/>
    </row>
    <row r="62" spans="2:2" ht="15.75" customHeight="1" x14ac:dyDescent="0.2">
      <c r="B62" s="14"/>
    </row>
    <row r="63" spans="2:2" ht="15.75" customHeight="1" x14ac:dyDescent="0.2">
      <c r="B63" s="14"/>
    </row>
    <row r="64" spans="2:2" ht="15.75" customHeight="1" x14ac:dyDescent="0.2">
      <c r="B64" s="14"/>
    </row>
    <row r="65" spans="2:2" ht="15.75" customHeight="1" x14ac:dyDescent="0.2">
      <c r="B65" s="14"/>
    </row>
    <row r="66" spans="2:2" ht="15.75" customHeight="1" x14ac:dyDescent="0.2">
      <c r="B66" s="14"/>
    </row>
    <row r="67" spans="2:2" ht="15.75" customHeight="1" x14ac:dyDescent="0.2">
      <c r="B67" s="14"/>
    </row>
    <row r="68" spans="2:2" ht="15.75" customHeight="1" x14ac:dyDescent="0.2">
      <c r="B68" s="14"/>
    </row>
    <row r="69" spans="2:2" ht="15.75" customHeight="1" x14ac:dyDescent="0.2">
      <c r="B69" s="14"/>
    </row>
    <row r="70" spans="2:2" ht="15.75" customHeight="1" x14ac:dyDescent="0.2">
      <c r="B70" s="14"/>
    </row>
    <row r="71" spans="2:2" ht="15.75" customHeight="1" x14ac:dyDescent="0.2">
      <c r="B71" s="14"/>
    </row>
    <row r="72" spans="2:2" ht="15.75" customHeight="1" x14ac:dyDescent="0.2">
      <c r="B72" s="14"/>
    </row>
    <row r="73" spans="2:2" ht="15.75" customHeight="1" x14ac:dyDescent="0.2">
      <c r="B73" s="14"/>
    </row>
    <row r="74" spans="2:2" ht="15.75" customHeight="1" x14ac:dyDescent="0.2">
      <c r="B74" s="14"/>
    </row>
    <row r="75" spans="2:2" ht="15.75" customHeight="1" x14ac:dyDescent="0.2">
      <c r="B75" s="14"/>
    </row>
    <row r="76" spans="2:2" ht="15.75" customHeight="1" x14ac:dyDescent="0.2">
      <c r="B76" s="14"/>
    </row>
    <row r="77" spans="2:2" ht="15.75" customHeight="1" x14ac:dyDescent="0.2">
      <c r="B77" s="14"/>
    </row>
    <row r="78" spans="2:2" ht="15.75" customHeight="1" x14ac:dyDescent="0.2">
      <c r="B78" s="14"/>
    </row>
    <row r="79" spans="2:2" ht="15.75" customHeight="1" x14ac:dyDescent="0.2">
      <c r="B79" s="14"/>
    </row>
    <row r="80" spans="2:2" ht="15.75" customHeight="1" x14ac:dyDescent="0.2">
      <c r="B80" s="14"/>
    </row>
    <row r="81" spans="2:2" ht="15.75" customHeight="1" x14ac:dyDescent="0.2">
      <c r="B81" s="14"/>
    </row>
    <row r="82" spans="2:2" ht="15.75" customHeight="1" x14ac:dyDescent="0.2">
      <c r="B82" s="14"/>
    </row>
    <row r="83" spans="2:2" ht="15.75" customHeight="1" x14ac:dyDescent="0.2">
      <c r="B83" s="14"/>
    </row>
    <row r="84" spans="2:2" ht="15.75" customHeight="1" x14ac:dyDescent="0.2">
      <c r="B84" s="14"/>
    </row>
    <row r="85" spans="2:2" ht="15.75" customHeight="1" x14ac:dyDescent="0.2">
      <c r="B85" s="14"/>
    </row>
    <row r="86" spans="2:2" ht="15.75" customHeight="1" x14ac:dyDescent="0.2">
      <c r="B86" s="14"/>
    </row>
    <row r="87" spans="2:2" ht="15.75" customHeight="1" x14ac:dyDescent="0.2">
      <c r="B87" s="14"/>
    </row>
    <row r="88" spans="2:2" ht="15.75" customHeight="1" x14ac:dyDescent="0.2">
      <c r="B88" s="14"/>
    </row>
    <row r="89" spans="2:2" ht="15.75" customHeight="1" x14ac:dyDescent="0.2">
      <c r="B89" s="14"/>
    </row>
    <row r="90" spans="2:2" ht="15.75" customHeight="1" x14ac:dyDescent="0.2">
      <c r="B90" s="14"/>
    </row>
    <row r="91" spans="2:2" ht="15.75" customHeight="1" x14ac:dyDescent="0.2">
      <c r="B91" s="14"/>
    </row>
    <row r="92" spans="2:2" ht="15.75" customHeight="1" x14ac:dyDescent="0.2">
      <c r="B92" s="14"/>
    </row>
    <row r="93" spans="2:2" ht="15.75" customHeight="1" x14ac:dyDescent="0.2">
      <c r="B93" s="14"/>
    </row>
    <row r="94" spans="2:2" ht="15.75" customHeight="1" x14ac:dyDescent="0.2">
      <c r="B94" s="14"/>
    </row>
    <row r="95" spans="2:2" ht="15.75" customHeight="1" x14ac:dyDescent="0.2">
      <c r="B95" s="14"/>
    </row>
    <row r="96" spans="2:2" ht="15.75" customHeight="1" x14ac:dyDescent="0.2">
      <c r="B96" s="14"/>
    </row>
    <row r="97" spans="2:2" ht="15.75" customHeight="1" x14ac:dyDescent="0.2">
      <c r="B97" s="14"/>
    </row>
    <row r="98" spans="2:2" ht="15.75" customHeight="1" x14ac:dyDescent="0.2">
      <c r="B98" s="14"/>
    </row>
    <row r="99" spans="2:2" ht="15.75" customHeight="1" x14ac:dyDescent="0.2">
      <c r="B99" s="14"/>
    </row>
    <row r="100" spans="2:2" ht="15.75" customHeight="1" x14ac:dyDescent="0.2">
      <c r="B100" s="14"/>
    </row>
    <row r="101" spans="2:2" ht="15.75" customHeight="1" x14ac:dyDescent="0.2">
      <c r="B101" s="14"/>
    </row>
    <row r="102" spans="2:2" ht="15.75" customHeight="1" x14ac:dyDescent="0.2">
      <c r="B102" s="14"/>
    </row>
    <row r="103" spans="2:2" ht="15.75" customHeight="1" x14ac:dyDescent="0.2">
      <c r="B103" s="14"/>
    </row>
    <row r="104" spans="2:2" ht="15.75" customHeight="1" x14ac:dyDescent="0.2">
      <c r="B104" s="14"/>
    </row>
    <row r="105" spans="2:2" ht="15.75" customHeight="1" x14ac:dyDescent="0.2">
      <c r="B105" s="14"/>
    </row>
    <row r="106" spans="2:2" ht="15.75" customHeight="1" x14ac:dyDescent="0.2">
      <c r="B106" s="14"/>
    </row>
    <row r="107" spans="2:2" ht="15.75" customHeight="1" x14ac:dyDescent="0.2">
      <c r="B107" s="14"/>
    </row>
    <row r="108" spans="2:2" ht="15.75" customHeight="1" x14ac:dyDescent="0.2">
      <c r="B108" s="14"/>
    </row>
    <row r="109" spans="2:2" ht="15.75" customHeight="1" x14ac:dyDescent="0.2">
      <c r="B109" s="14"/>
    </row>
    <row r="110" spans="2:2" ht="15.75" customHeight="1" x14ac:dyDescent="0.2">
      <c r="B110" s="14"/>
    </row>
    <row r="111" spans="2:2" ht="15.75" customHeight="1" x14ac:dyDescent="0.2">
      <c r="B111" s="14"/>
    </row>
    <row r="112" spans="2:2" ht="15.75" customHeight="1" x14ac:dyDescent="0.2">
      <c r="B112" s="14"/>
    </row>
    <row r="113" spans="2:2" ht="15.75" customHeight="1" x14ac:dyDescent="0.2">
      <c r="B113" s="14"/>
    </row>
    <row r="114" spans="2:2" ht="15.75" customHeight="1" x14ac:dyDescent="0.2">
      <c r="B114" s="14"/>
    </row>
    <row r="115" spans="2:2" ht="15.75" customHeight="1" x14ac:dyDescent="0.2">
      <c r="B115" s="14"/>
    </row>
    <row r="116" spans="2:2" ht="15.75" customHeight="1" x14ac:dyDescent="0.2">
      <c r="B116" s="14"/>
    </row>
    <row r="117" spans="2:2" ht="15.75" customHeight="1" x14ac:dyDescent="0.2">
      <c r="B117" s="14"/>
    </row>
    <row r="118" spans="2:2" ht="15.75" customHeight="1" x14ac:dyDescent="0.2">
      <c r="B118" s="14"/>
    </row>
    <row r="119" spans="2:2" ht="15.75" customHeight="1" x14ac:dyDescent="0.2">
      <c r="B119" s="14"/>
    </row>
    <row r="120" spans="2:2" ht="15.75" customHeight="1" x14ac:dyDescent="0.2">
      <c r="B120" s="14"/>
    </row>
    <row r="121" spans="2:2" ht="15.75" customHeight="1" x14ac:dyDescent="0.2">
      <c r="B121" s="14"/>
    </row>
    <row r="122" spans="2:2" ht="15.75" customHeight="1" x14ac:dyDescent="0.2">
      <c r="B122" s="14"/>
    </row>
    <row r="123" spans="2:2" ht="15.75" customHeight="1" x14ac:dyDescent="0.2">
      <c r="B123" s="14"/>
    </row>
    <row r="124" spans="2:2" ht="15.75" customHeight="1" x14ac:dyDescent="0.2">
      <c r="B124" s="14"/>
    </row>
    <row r="125" spans="2:2" ht="15.75" customHeight="1" x14ac:dyDescent="0.2">
      <c r="B125" s="14"/>
    </row>
    <row r="126" spans="2:2" ht="15.75" customHeight="1" x14ac:dyDescent="0.2">
      <c r="B126" s="14"/>
    </row>
    <row r="127" spans="2:2" ht="15.75" customHeight="1" x14ac:dyDescent="0.2">
      <c r="B127" s="14"/>
    </row>
    <row r="128" spans="2:2" ht="15.75" customHeight="1" x14ac:dyDescent="0.2">
      <c r="B128" s="14"/>
    </row>
    <row r="129" spans="2:2" ht="15.75" customHeight="1" x14ac:dyDescent="0.2">
      <c r="B129" s="14"/>
    </row>
    <row r="130" spans="2:2" ht="15.75" customHeight="1" x14ac:dyDescent="0.2">
      <c r="B130" s="14"/>
    </row>
    <row r="131" spans="2:2" ht="15.75" customHeight="1" x14ac:dyDescent="0.2">
      <c r="B131" s="14"/>
    </row>
    <row r="132" spans="2:2" ht="15.75" customHeight="1" x14ac:dyDescent="0.2">
      <c r="B132" s="14"/>
    </row>
    <row r="133" spans="2:2" ht="15.75" customHeight="1" x14ac:dyDescent="0.2">
      <c r="B133" s="14"/>
    </row>
    <row r="134" spans="2:2" ht="15.75" customHeight="1" x14ac:dyDescent="0.2">
      <c r="B134" s="14"/>
    </row>
    <row r="135" spans="2:2" ht="15.75" customHeight="1" x14ac:dyDescent="0.2">
      <c r="B135" s="14"/>
    </row>
    <row r="136" spans="2:2" ht="15.75" customHeight="1" x14ac:dyDescent="0.2">
      <c r="B136" s="14"/>
    </row>
    <row r="137" spans="2:2" ht="15.75" customHeight="1" x14ac:dyDescent="0.2">
      <c r="B137" s="14"/>
    </row>
    <row r="138" spans="2:2" ht="15.75" customHeight="1" x14ac:dyDescent="0.2">
      <c r="B138" s="14"/>
    </row>
    <row r="139" spans="2:2" ht="15.75" customHeight="1" x14ac:dyDescent="0.2">
      <c r="B139" s="14"/>
    </row>
    <row r="140" spans="2:2" ht="15.75" customHeight="1" x14ac:dyDescent="0.2">
      <c r="B140" s="14"/>
    </row>
    <row r="141" spans="2:2" ht="15.75" customHeight="1" x14ac:dyDescent="0.2">
      <c r="B141" s="14"/>
    </row>
    <row r="142" spans="2:2" ht="15.75" customHeight="1" x14ac:dyDescent="0.2">
      <c r="B142" s="14"/>
    </row>
    <row r="143" spans="2:2" ht="15.75" customHeight="1" x14ac:dyDescent="0.2">
      <c r="B143" s="14"/>
    </row>
    <row r="144" spans="2:2" ht="15.75" customHeight="1" x14ac:dyDescent="0.2">
      <c r="B144" s="14"/>
    </row>
    <row r="145" spans="2:2" ht="15.75" customHeight="1" x14ac:dyDescent="0.2">
      <c r="B145" s="14"/>
    </row>
    <row r="146" spans="2:2" ht="15.75" customHeight="1" x14ac:dyDescent="0.2">
      <c r="B146" s="14"/>
    </row>
    <row r="147" spans="2:2" ht="15.75" customHeight="1" x14ac:dyDescent="0.2">
      <c r="B147" s="14"/>
    </row>
    <row r="148" spans="2:2" ht="15.75" customHeight="1" x14ac:dyDescent="0.2">
      <c r="B148" s="14"/>
    </row>
    <row r="149" spans="2:2" ht="15.75" customHeight="1" x14ac:dyDescent="0.2">
      <c r="B149" s="14"/>
    </row>
    <row r="150" spans="2:2" ht="15.75" customHeight="1" x14ac:dyDescent="0.2">
      <c r="B150" s="14"/>
    </row>
    <row r="151" spans="2:2" ht="15.75" customHeight="1" x14ac:dyDescent="0.2">
      <c r="B151" s="14"/>
    </row>
    <row r="152" spans="2:2" ht="15.75" customHeight="1" x14ac:dyDescent="0.2">
      <c r="B152" s="14"/>
    </row>
    <row r="153" spans="2:2" ht="15.75" customHeight="1" x14ac:dyDescent="0.2">
      <c r="B153" s="14"/>
    </row>
    <row r="154" spans="2:2" ht="15.75" customHeight="1" x14ac:dyDescent="0.2">
      <c r="B154" s="14"/>
    </row>
    <row r="155" spans="2:2" ht="15.75" customHeight="1" x14ac:dyDescent="0.2">
      <c r="B155" s="14"/>
    </row>
    <row r="156" spans="2:2" ht="15.75" customHeight="1" x14ac:dyDescent="0.2">
      <c r="B156" s="14"/>
    </row>
    <row r="157" spans="2:2" ht="15.75" customHeight="1" x14ac:dyDescent="0.2">
      <c r="B157" s="14"/>
    </row>
    <row r="158" spans="2:2" ht="15.75" customHeight="1" x14ac:dyDescent="0.2">
      <c r="B158" s="14"/>
    </row>
    <row r="159" spans="2:2" ht="15.75" customHeight="1" x14ac:dyDescent="0.2">
      <c r="B159" s="14"/>
    </row>
    <row r="160" spans="2:2" ht="15.75" customHeight="1" x14ac:dyDescent="0.2">
      <c r="B160" s="14"/>
    </row>
    <row r="161" spans="2:2" ht="15.75" customHeight="1" x14ac:dyDescent="0.2">
      <c r="B161" s="14"/>
    </row>
    <row r="162" spans="2:2" ht="15.75" customHeight="1" x14ac:dyDescent="0.2">
      <c r="B162" s="14"/>
    </row>
    <row r="163" spans="2:2" ht="15.75" customHeight="1" x14ac:dyDescent="0.2">
      <c r="B163" s="14"/>
    </row>
    <row r="164" spans="2:2" ht="15.75" customHeight="1" x14ac:dyDescent="0.2">
      <c r="B164" s="14"/>
    </row>
    <row r="165" spans="2:2" ht="15.75" customHeight="1" x14ac:dyDescent="0.2">
      <c r="B165" s="14"/>
    </row>
    <row r="166" spans="2:2" ht="15.75" customHeight="1" x14ac:dyDescent="0.2">
      <c r="B166" s="14"/>
    </row>
    <row r="167" spans="2:2" ht="15.75" customHeight="1" x14ac:dyDescent="0.2">
      <c r="B167" s="14"/>
    </row>
    <row r="168" spans="2:2" ht="15.75" customHeight="1" x14ac:dyDescent="0.2">
      <c r="B168" s="14"/>
    </row>
    <row r="169" spans="2:2" ht="15.75" customHeight="1" x14ac:dyDescent="0.2">
      <c r="B169" s="14"/>
    </row>
    <row r="170" spans="2:2" ht="15.75" customHeight="1" x14ac:dyDescent="0.2">
      <c r="B170" s="14"/>
    </row>
    <row r="171" spans="2:2" ht="15.75" customHeight="1" x14ac:dyDescent="0.2">
      <c r="B171" s="14"/>
    </row>
    <row r="172" spans="2:2" ht="15.75" customHeight="1" x14ac:dyDescent="0.2">
      <c r="B172" s="14"/>
    </row>
    <row r="173" spans="2:2" ht="15.75" customHeight="1" x14ac:dyDescent="0.2">
      <c r="B173" s="14"/>
    </row>
    <row r="174" spans="2:2" ht="15.75" customHeight="1" x14ac:dyDescent="0.2">
      <c r="B174" s="14"/>
    </row>
    <row r="175" spans="2:2" ht="15.75" customHeight="1" x14ac:dyDescent="0.2">
      <c r="B175" s="14"/>
    </row>
    <row r="176" spans="2:2" ht="15.75" customHeight="1" x14ac:dyDescent="0.2">
      <c r="B176" s="14"/>
    </row>
    <row r="177" spans="2:2" ht="15.75" customHeight="1" x14ac:dyDescent="0.2">
      <c r="B177" s="14"/>
    </row>
    <row r="178" spans="2:2" ht="15.75" customHeight="1" x14ac:dyDescent="0.2">
      <c r="B178" s="14"/>
    </row>
    <row r="179" spans="2:2" ht="15.75" customHeight="1" x14ac:dyDescent="0.2">
      <c r="B179" s="14"/>
    </row>
    <row r="180" spans="2:2" ht="15.75" customHeight="1" x14ac:dyDescent="0.2">
      <c r="B180" s="14"/>
    </row>
    <row r="181" spans="2:2" ht="15.75" customHeight="1" x14ac:dyDescent="0.2">
      <c r="B181" s="14"/>
    </row>
    <row r="182" spans="2:2" ht="15.75" customHeight="1" x14ac:dyDescent="0.2">
      <c r="B182" s="14"/>
    </row>
    <row r="183" spans="2:2" ht="15.75" customHeight="1" x14ac:dyDescent="0.2">
      <c r="B183" s="14"/>
    </row>
    <row r="184" spans="2:2" ht="15.75" customHeight="1" x14ac:dyDescent="0.2">
      <c r="B184" s="14"/>
    </row>
    <row r="185" spans="2:2" ht="15.75" customHeight="1" x14ac:dyDescent="0.2">
      <c r="B185" s="14"/>
    </row>
    <row r="186" spans="2:2" ht="15.75" customHeight="1" x14ac:dyDescent="0.2">
      <c r="B186" s="14"/>
    </row>
    <row r="187" spans="2:2" ht="15.75" customHeight="1" x14ac:dyDescent="0.2">
      <c r="B187" s="14"/>
    </row>
    <row r="188" spans="2:2" ht="15.75" customHeight="1" x14ac:dyDescent="0.2">
      <c r="B188" s="14"/>
    </row>
    <row r="189" spans="2:2" ht="15.75" customHeight="1" x14ac:dyDescent="0.2">
      <c r="B189" s="14"/>
    </row>
    <row r="190" spans="2:2" ht="15.75" customHeight="1" x14ac:dyDescent="0.2">
      <c r="B190" s="14"/>
    </row>
    <row r="191" spans="2:2" ht="15.75" customHeight="1" x14ac:dyDescent="0.2">
      <c r="B191" s="14"/>
    </row>
    <row r="192" spans="2:2" ht="15.75" customHeight="1" x14ac:dyDescent="0.2">
      <c r="B192" s="14"/>
    </row>
    <row r="193" spans="2:2" ht="15.75" customHeight="1" x14ac:dyDescent="0.2">
      <c r="B193" s="14"/>
    </row>
    <row r="194" spans="2:2" ht="15.75" customHeight="1" x14ac:dyDescent="0.2">
      <c r="B194" s="14"/>
    </row>
    <row r="195" spans="2:2" ht="15.75" customHeight="1" x14ac:dyDescent="0.2">
      <c r="B195" s="14"/>
    </row>
    <row r="196" spans="2:2" ht="15.75" customHeight="1" x14ac:dyDescent="0.2">
      <c r="B196" s="14"/>
    </row>
    <row r="197" spans="2:2" ht="15.75" customHeight="1" x14ac:dyDescent="0.2">
      <c r="B197" s="14"/>
    </row>
    <row r="198" spans="2:2" ht="15.75" customHeight="1" x14ac:dyDescent="0.2">
      <c r="B198" s="14"/>
    </row>
    <row r="199" spans="2:2" ht="15.75" customHeight="1" x14ac:dyDescent="0.2">
      <c r="B199" s="14"/>
    </row>
    <row r="200" spans="2:2" ht="15.75" customHeight="1" x14ac:dyDescent="0.2">
      <c r="B200" s="14"/>
    </row>
    <row r="201" spans="2:2" ht="15.75" customHeight="1" x14ac:dyDescent="0.2">
      <c r="B201" s="14"/>
    </row>
    <row r="202" spans="2:2" ht="15.75" customHeight="1" x14ac:dyDescent="0.2">
      <c r="B202" s="14"/>
    </row>
    <row r="203" spans="2:2" ht="15.75" customHeight="1" x14ac:dyDescent="0.2">
      <c r="B203" s="14"/>
    </row>
    <row r="204" spans="2:2" ht="15.75" customHeight="1" x14ac:dyDescent="0.2">
      <c r="B204" s="14"/>
    </row>
    <row r="205" spans="2:2" ht="15.75" customHeight="1" x14ac:dyDescent="0.2">
      <c r="B205" s="14"/>
    </row>
    <row r="206" spans="2:2" ht="15.75" customHeight="1" x14ac:dyDescent="0.2">
      <c r="B206" s="14"/>
    </row>
    <row r="207" spans="2:2" ht="15.75" customHeight="1" x14ac:dyDescent="0.2">
      <c r="B207" s="14"/>
    </row>
    <row r="208" spans="2:2" ht="15.75" customHeight="1" x14ac:dyDescent="0.2">
      <c r="B208" s="14"/>
    </row>
    <row r="209" spans="2:2" ht="15.75" customHeight="1" x14ac:dyDescent="0.2">
      <c r="B209" s="14"/>
    </row>
    <row r="210" spans="2:2" ht="15.75" customHeight="1" x14ac:dyDescent="0.2">
      <c r="B210" s="14"/>
    </row>
    <row r="211" spans="2:2" ht="15.75" customHeight="1" x14ac:dyDescent="0.2">
      <c r="B211" s="14"/>
    </row>
    <row r="212" spans="2:2" ht="15.75" customHeight="1" x14ac:dyDescent="0.2">
      <c r="B212" s="14"/>
    </row>
    <row r="213" spans="2:2" ht="15.75" customHeight="1" x14ac:dyDescent="0.2">
      <c r="B213" s="14"/>
    </row>
    <row r="214" spans="2:2" ht="15.75" customHeight="1" x14ac:dyDescent="0.2">
      <c r="B214" s="14"/>
    </row>
    <row r="215" spans="2:2" ht="15.75" customHeight="1" x14ac:dyDescent="0.2">
      <c r="B215" s="14"/>
    </row>
    <row r="216" spans="2:2" ht="15.75" customHeight="1" x14ac:dyDescent="0.2">
      <c r="B216" s="14"/>
    </row>
    <row r="217" spans="2:2" ht="15.75" customHeight="1" x14ac:dyDescent="0.2">
      <c r="B217" s="14"/>
    </row>
    <row r="218" spans="2:2" ht="15.75" customHeight="1" x14ac:dyDescent="0.2">
      <c r="B218" s="14"/>
    </row>
    <row r="219" spans="2:2" ht="15.75" customHeight="1" x14ac:dyDescent="0.2">
      <c r="B219" s="14"/>
    </row>
    <row r="220" spans="2:2" ht="15.75" customHeight="1" x14ac:dyDescent="0.2">
      <c r="B220" s="14"/>
    </row>
    <row r="221" spans="2:2" ht="15.75" customHeight="1" x14ac:dyDescent="0.2">
      <c r="B221" s="14"/>
    </row>
    <row r="222" spans="2:2" ht="15.75" customHeight="1" x14ac:dyDescent="0.2">
      <c r="B222" s="14"/>
    </row>
    <row r="223" spans="2:2" ht="15.75" customHeight="1" x14ac:dyDescent="0.2">
      <c r="B223" s="14"/>
    </row>
    <row r="224" spans="2:2" ht="15.75" customHeight="1" x14ac:dyDescent="0.2">
      <c r="B224" s="14"/>
    </row>
    <row r="225" spans="2:2" ht="15.75" customHeight="1" x14ac:dyDescent="0.2">
      <c r="B225" s="14"/>
    </row>
    <row r="226" spans="2:2" ht="15.75" customHeight="1" x14ac:dyDescent="0.2">
      <c r="B226" s="14"/>
    </row>
    <row r="227" spans="2:2" ht="15.75" customHeight="1" x14ac:dyDescent="0.2">
      <c r="B227" s="14"/>
    </row>
    <row r="228" spans="2:2" ht="15.75" customHeight="1" x14ac:dyDescent="0.2">
      <c r="B228" s="14"/>
    </row>
    <row r="229" spans="2:2" ht="15.75" customHeight="1" x14ac:dyDescent="0.2">
      <c r="B229" s="14"/>
    </row>
    <row r="230" spans="2:2" ht="15.75" customHeight="1" x14ac:dyDescent="0.2">
      <c r="B230" s="14"/>
    </row>
    <row r="231" spans="2:2" ht="15.75" customHeight="1" x14ac:dyDescent="0.2">
      <c r="B231" s="14"/>
    </row>
    <row r="232" spans="2:2" ht="15.75" customHeight="1" x14ac:dyDescent="0.2">
      <c r="B232" s="14"/>
    </row>
    <row r="233" spans="2:2" ht="15.75" customHeight="1" x14ac:dyDescent="0.2">
      <c r="B233" s="14"/>
    </row>
    <row r="234" spans="2:2" ht="15.75" customHeight="1" x14ac:dyDescent="0.2">
      <c r="B234" s="14"/>
    </row>
    <row r="235" spans="2:2" ht="15.75" customHeight="1" x14ac:dyDescent="0.2">
      <c r="B235" s="14"/>
    </row>
    <row r="236" spans="2:2" ht="15.75" customHeight="1" x14ac:dyDescent="0.2">
      <c r="B236" s="14"/>
    </row>
    <row r="237" spans="2:2" ht="15.75" customHeight="1" x14ac:dyDescent="0.2">
      <c r="B237" s="14"/>
    </row>
    <row r="238" spans="2:2" ht="15.75" customHeight="1" x14ac:dyDescent="0.2">
      <c r="B238" s="14"/>
    </row>
    <row r="239" spans="2:2" ht="15.75" customHeight="1" x14ac:dyDescent="0.2">
      <c r="B239" s="14"/>
    </row>
    <row r="240" spans="2:2" ht="15.75" customHeight="1" x14ac:dyDescent="0.2">
      <c r="B240" s="14"/>
    </row>
    <row r="241" spans="2:2" ht="15.75" customHeight="1" x14ac:dyDescent="0.2">
      <c r="B241" s="14"/>
    </row>
    <row r="242" spans="2:2" ht="15.75" customHeight="1" x14ac:dyDescent="0.2">
      <c r="B242" s="14"/>
    </row>
    <row r="243" spans="2:2" ht="15.75" customHeight="1" x14ac:dyDescent="0.2">
      <c r="B243" s="14"/>
    </row>
    <row r="244" spans="2:2" ht="15.75" customHeight="1" x14ac:dyDescent="0.2">
      <c r="B244" s="14"/>
    </row>
    <row r="245" spans="2:2" ht="15.75" customHeight="1" x14ac:dyDescent="0.2">
      <c r="B245" s="14"/>
    </row>
    <row r="246" spans="2:2" ht="15.75" customHeight="1" x14ac:dyDescent="0.2">
      <c r="B246" s="14"/>
    </row>
    <row r="247" spans="2:2" ht="15.75" customHeight="1" x14ac:dyDescent="0.2">
      <c r="B247" s="14"/>
    </row>
    <row r="248" spans="2:2" ht="15.75" customHeight="1" x14ac:dyDescent="0.2">
      <c r="B248" s="14"/>
    </row>
    <row r="249" spans="2:2" ht="15.75" customHeight="1" x14ac:dyDescent="0.2">
      <c r="B249" s="14"/>
    </row>
    <row r="250" spans="2:2" ht="15.75" customHeight="1" x14ac:dyDescent="0.2">
      <c r="B250" s="14"/>
    </row>
    <row r="251" spans="2:2" ht="15.75" customHeight="1" x14ac:dyDescent="0.2">
      <c r="B251" s="14"/>
    </row>
    <row r="252" spans="2:2" ht="15.75" customHeight="1" x14ac:dyDescent="0.2">
      <c r="B252" s="14"/>
    </row>
    <row r="253" spans="2:2" ht="15.75" customHeight="1" x14ac:dyDescent="0.2">
      <c r="B253" s="14"/>
    </row>
    <row r="254" spans="2:2" ht="15.75" customHeight="1" x14ac:dyDescent="0.2">
      <c r="B254" s="14"/>
    </row>
    <row r="255" spans="2:2" ht="15.75" customHeight="1" x14ac:dyDescent="0.2">
      <c r="B255" s="14"/>
    </row>
    <row r="256" spans="2:2" ht="15.75" customHeight="1" x14ac:dyDescent="0.2">
      <c r="B256" s="14"/>
    </row>
    <row r="257" spans="2:2" ht="15.75" customHeight="1" x14ac:dyDescent="0.2">
      <c r="B257" s="14"/>
    </row>
    <row r="258" spans="2:2" ht="15.75" customHeight="1" x14ac:dyDescent="0.2">
      <c r="B258" s="14"/>
    </row>
    <row r="259" spans="2:2" ht="15.75" customHeight="1" x14ac:dyDescent="0.2">
      <c r="B259" s="14"/>
    </row>
    <row r="260" spans="2:2" ht="15.75" customHeight="1" x14ac:dyDescent="0.2">
      <c r="B260" s="14"/>
    </row>
    <row r="261" spans="2:2" ht="15.75" customHeight="1" x14ac:dyDescent="0.2">
      <c r="B261" s="14"/>
    </row>
    <row r="262" spans="2:2" ht="15.75" customHeight="1" x14ac:dyDescent="0.2">
      <c r="B262" s="14"/>
    </row>
    <row r="263" spans="2:2" ht="15.75" customHeight="1" x14ac:dyDescent="0.2">
      <c r="B263" s="14"/>
    </row>
    <row r="264" spans="2:2" ht="15.75" customHeight="1" x14ac:dyDescent="0.2">
      <c r="B264" s="14"/>
    </row>
    <row r="265" spans="2:2" ht="15.75" customHeight="1" x14ac:dyDescent="0.2">
      <c r="B265" s="14"/>
    </row>
    <row r="266" spans="2:2" ht="15.75" customHeight="1" x14ac:dyDescent="0.2">
      <c r="B266" s="14"/>
    </row>
    <row r="267" spans="2:2" ht="15.75" customHeight="1" x14ac:dyDescent="0.2">
      <c r="B267" s="14"/>
    </row>
    <row r="268" spans="2:2" ht="15.75" customHeight="1" x14ac:dyDescent="0.2">
      <c r="B268" s="14"/>
    </row>
    <row r="269" spans="2:2" ht="15.75" customHeight="1" x14ac:dyDescent="0.2">
      <c r="B269" s="14"/>
    </row>
    <row r="270" spans="2:2" ht="15.75" customHeight="1" x14ac:dyDescent="0.2">
      <c r="B270" s="14"/>
    </row>
    <row r="271" spans="2:2" ht="15.75" customHeight="1" x14ac:dyDescent="0.2">
      <c r="B271" s="14"/>
    </row>
    <row r="272" spans="2:2" ht="15.75" customHeight="1" x14ac:dyDescent="0.2">
      <c r="B272" s="14"/>
    </row>
    <row r="273" spans="2:2" ht="15.75" customHeight="1" x14ac:dyDescent="0.2">
      <c r="B273" s="14"/>
    </row>
    <row r="274" spans="2:2" ht="15.75" customHeight="1" x14ac:dyDescent="0.2">
      <c r="B274" s="14"/>
    </row>
    <row r="275" spans="2:2" ht="15.75" customHeight="1" x14ac:dyDescent="0.2">
      <c r="B275" s="14"/>
    </row>
    <row r="276" spans="2:2" ht="15.75" customHeight="1" x14ac:dyDescent="0.2">
      <c r="B276" s="14"/>
    </row>
    <row r="277" spans="2:2" ht="15.75" customHeight="1" x14ac:dyDescent="0.2">
      <c r="B277" s="14"/>
    </row>
    <row r="278" spans="2:2" ht="15.75" customHeight="1" x14ac:dyDescent="0.2">
      <c r="B278" s="14"/>
    </row>
    <row r="279" spans="2:2" ht="15.75" customHeight="1" x14ac:dyDescent="0.2">
      <c r="B279" s="14"/>
    </row>
    <row r="280" spans="2:2" ht="15.75" customHeight="1" x14ac:dyDescent="0.2">
      <c r="B280" s="14"/>
    </row>
    <row r="281" spans="2:2" ht="15.75" customHeight="1" x14ac:dyDescent="0.2">
      <c r="B281" s="14"/>
    </row>
    <row r="282" spans="2:2" ht="15.75" customHeight="1" x14ac:dyDescent="0.2">
      <c r="B282" s="14"/>
    </row>
    <row r="283" spans="2:2" ht="15.75" customHeight="1" x14ac:dyDescent="0.2">
      <c r="B283" s="14"/>
    </row>
    <row r="284" spans="2:2" ht="15.75" customHeight="1" x14ac:dyDescent="0.2">
      <c r="B284" s="14"/>
    </row>
    <row r="285" spans="2:2" ht="15.75" customHeight="1" x14ac:dyDescent="0.2">
      <c r="B285" s="14"/>
    </row>
    <row r="286" spans="2:2" ht="15.75" customHeight="1" x14ac:dyDescent="0.2">
      <c r="B286" s="14"/>
    </row>
    <row r="287" spans="2:2" ht="15.75" customHeight="1" x14ac:dyDescent="0.2">
      <c r="B287" s="14"/>
    </row>
    <row r="288" spans="2:2" ht="15.75" customHeight="1" x14ac:dyDescent="0.2">
      <c r="B288" s="14"/>
    </row>
    <row r="289" spans="2:2" ht="15.75" customHeight="1" x14ac:dyDescent="0.2">
      <c r="B289" s="14"/>
    </row>
    <row r="290" spans="2:2" ht="15.75" customHeight="1" x14ac:dyDescent="0.2">
      <c r="B290" s="14"/>
    </row>
    <row r="291" spans="2:2" ht="15.75" customHeight="1" x14ac:dyDescent="0.2">
      <c r="B291" s="14"/>
    </row>
    <row r="292" spans="2:2" ht="15.75" customHeight="1" x14ac:dyDescent="0.2">
      <c r="B292" s="14"/>
    </row>
    <row r="293" spans="2:2" ht="15.75" customHeight="1" x14ac:dyDescent="0.2">
      <c r="B293" s="14"/>
    </row>
    <row r="294" spans="2:2" ht="15.75" customHeight="1" x14ac:dyDescent="0.2">
      <c r="B294" s="14"/>
    </row>
    <row r="295" spans="2:2" ht="15.75" customHeight="1" x14ac:dyDescent="0.2">
      <c r="B295" s="14"/>
    </row>
    <row r="296" spans="2:2" ht="15.75" customHeight="1" x14ac:dyDescent="0.2">
      <c r="B296" s="14"/>
    </row>
    <row r="297" spans="2:2" ht="15.75" customHeight="1" x14ac:dyDescent="0.2">
      <c r="B297" s="14"/>
    </row>
    <row r="298" spans="2:2" ht="15.75" customHeight="1" x14ac:dyDescent="0.2">
      <c r="B298" s="14"/>
    </row>
    <row r="299" spans="2:2" ht="15.75" customHeight="1" x14ac:dyDescent="0.2">
      <c r="B299" s="14"/>
    </row>
    <row r="300" spans="2:2" ht="15.75" customHeight="1" x14ac:dyDescent="0.2">
      <c r="B300" s="14"/>
    </row>
    <row r="301" spans="2:2" ht="15.75" customHeight="1" x14ac:dyDescent="0.2">
      <c r="B301" s="14"/>
    </row>
    <row r="302" spans="2:2" ht="15.75" customHeight="1" x14ac:dyDescent="0.2">
      <c r="B302" s="14"/>
    </row>
    <row r="303" spans="2:2" ht="15.75" customHeight="1" x14ac:dyDescent="0.2">
      <c r="B303" s="14"/>
    </row>
    <row r="304" spans="2:2" ht="15.75" customHeight="1" x14ac:dyDescent="0.2">
      <c r="B304" s="14"/>
    </row>
    <row r="305" spans="2:2" ht="15.75" customHeight="1" x14ac:dyDescent="0.2">
      <c r="B305" s="14"/>
    </row>
    <row r="306" spans="2:2" ht="15.75" customHeight="1" x14ac:dyDescent="0.2">
      <c r="B306" s="14"/>
    </row>
    <row r="307" spans="2:2" ht="15.75" customHeight="1" x14ac:dyDescent="0.2">
      <c r="B307" s="14"/>
    </row>
    <row r="308" spans="2:2" ht="15.75" customHeight="1" x14ac:dyDescent="0.2">
      <c r="B308" s="14"/>
    </row>
    <row r="309" spans="2:2" ht="15.75" customHeight="1" x14ac:dyDescent="0.2">
      <c r="B309" s="14"/>
    </row>
    <row r="310" spans="2:2" ht="15.75" customHeight="1" x14ac:dyDescent="0.2">
      <c r="B310" s="14"/>
    </row>
    <row r="311" spans="2:2" ht="15.75" customHeight="1" x14ac:dyDescent="0.2">
      <c r="B311" s="14"/>
    </row>
    <row r="312" spans="2:2" ht="15.75" customHeight="1" x14ac:dyDescent="0.2">
      <c r="B312" s="14"/>
    </row>
    <row r="313" spans="2:2" ht="15.75" customHeight="1" x14ac:dyDescent="0.2">
      <c r="B313" s="14"/>
    </row>
    <row r="314" spans="2:2" ht="15.75" customHeight="1" x14ac:dyDescent="0.2">
      <c r="B314" s="14"/>
    </row>
    <row r="315" spans="2:2" ht="15.75" customHeight="1" x14ac:dyDescent="0.2">
      <c r="B315" s="14"/>
    </row>
    <row r="316" spans="2:2" ht="15.75" customHeight="1" x14ac:dyDescent="0.2">
      <c r="B316" s="14"/>
    </row>
    <row r="317" spans="2:2" ht="15.75" customHeight="1" x14ac:dyDescent="0.2">
      <c r="B317" s="14"/>
    </row>
    <row r="318" spans="2:2" ht="15.75" customHeight="1" x14ac:dyDescent="0.2">
      <c r="B318" s="14"/>
    </row>
    <row r="319" spans="2:2" ht="15.75" customHeight="1" x14ac:dyDescent="0.2">
      <c r="B319" s="14"/>
    </row>
    <row r="320" spans="2:2" ht="15.75" customHeight="1" x14ac:dyDescent="0.2">
      <c r="B320" s="14"/>
    </row>
    <row r="321" spans="2:2" ht="15.75" customHeight="1" x14ac:dyDescent="0.2">
      <c r="B321" s="14"/>
    </row>
    <row r="322" spans="2:2" ht="15.75" customHeight="1" x14ac:dyDescent="0.2">
      <c r="B322" s="14"/>
    </row>
    <row r="323" spans="2:2" ht="15.75" customHeight="1" x14ac:dyDescent="0.2">
      <c r="B323" s="14"/>
    </row>
    <row r="324" spans="2:2" ht="15.75" customHeight="1" x14ac:dyDescent="0.2">
      <c r="B324" s="14"/>
    </row>
    <row r="325" spans="2:2" ht="15.75" customHeight="1" x14ac:dyDescent="0.2">
      <c r="B325" s="14"/>
    </row>
    <row r="326" spans="2:2" ht="15.75" customHeight="1" x14ac:dyDescent="0.2">
      <c r="B326" s="14"/>
    </row>
    <row r="327" spans="2:2" ht="15.75" customHeight="1" x14ac:dyDescent="0.2">
      <c r="B327" s="14"/>
    </row>
    <row r="328" spans="2:2" ht="15.75" customHeight="1" x14ac:dyDescent="0.2">
      <c r="B328" s="14"/>
    </row>
    <row r="329" spans="2:2" ht="15.75" customHeight="1" x14ac:dyDescent="0.2">
      <c r="B329" s="14"/>
    </row>
    <row r="330" spans="2:2" ht="15.75" customHeight="1" x14ac:dyDescent="0.2">
      <c r="B330" s="14"/>
    </row>
    <row r="331" spans="2:2" ht="15.75" customHeight="1" x14ac:dyDescent="0.2">
      <c r="B331" s="14"/>
    </row>
    <row r="332" spans="2:2" ht="15.75" customHeight="1" x14ac:dyDescent="0.2">
      <c r="B332" s="14"/>
    </row>
    <row r="333" spans="2:2" ht="15.75" customHeight="1" x14ac:dyDescent="0.2">
      <c r="B333" s="14"/>
    </row>
    <row r="334" spans="2:2" ht="15.75" customHeight="1" x14ac:dyDescent="0.2">
      <c r="B334" s="14"/>
    </row>
    <row r="335" spans="2:2" ht="15.75" customHeight="1" x14ac:dyDescent="0.2">
      <c r="B335" s="14"/>
    </row>
    <row r="336" spans="2:2" ht="15.75" customHeight="1" x14ac:dyDescent="0.2">
      <c r="B336" s="14"/>
    </row>
    <row r="337" spans="2:2" ht="15.75" customHeight="1" x14ac:dyDescent="0.2">
      <c r="B337" s="14"/>
    </row>
    <row r="338" spans="2:2" ht="15.75" customHeight="1" x14ac:dyDescent="0.2">
      <c r="B338" s="14"/>
    </row>
    <row r="339" spans="2:2" ht="15.75" customHeight="1" x14ac:dyDescent="0.2">
      <c r="B339" s="14"/>
    </row>
    <row r="340" spans="2:2" ht="15.75" customHeight="1" x14ac:dyDescent="0.2">
      <c r="B340" s="14"/>
    </row>
    <row r="341" spans="2:2" ht="15.75" customHeight="1" x14ac:dyDescent="0.2">
      <c r="B341" s="14"/>
    </row>
    <row r="342" spans="2:2" ht="15.75" customHeight="1" x14ac:dyDescent="0.2">
      <c r="B342" s="14"/>
    </row>
    <row r="343" spans="2:2" ht="15.75" customHeight="1" x14ac:dyDescent="0.2">
      <c r="B343" s="14"/>
    </row>
    <row r="344" spans="2:2" ht="15.75" customHeight="1" x14ac:dyDescent="0.2">
      <c r="B344" s="14"/>
    </row>
    <row r="345" spans="2:2" ht="15.75" customHeight="1" x14ac:dyDescent="0.2">
      <c r="B345" s="14"/>
    </row>
    <row r="346" spans="2:2" ht="15.75" customHeight="1" x14ac:dyDescent="0.2">
      <c r="B346" s="14"/>
    </row>
    <row r="347" spans="2:2" ht="15.75" customHeight="1" x14ac:dyDescent="0.2">
      <c r="B347" s="14"/>
    </row>
    <row r="348" spans="2:2" ht="15.75" customHeight="1" x14ac:dyDescent="0.2">
      <c r="B348" s="14"/>
    </row>
    <row r="349" spans="2:2" ht="15.75" customHeight="1" x14ac:dyDescent="0.2">
      <c r="B349" s="14"/>
    </row>
    <row r="350" spans="2:2" ht="15.75" customHeight="1" x14ac:dyDescent="0.2">
      <c r="B350" s="14"/>
    </row>
    <row r="351" spans="2:2" ht="15.75" customHeight="1" x14ac:dyDescent="0.2">
      <c r="B351" s="14"/>
    </row>
    <row r="352" spans="2:2" ht="15.75" customHeight="1" x14ac:dyDescent="0.2">
      <c r="B352" s="14"/>
    </row>
    <row r="353" spans="2:2" ht="15.75" customHeight="1" x14ac:dyDescent="0.2">
      <c r="B353" s="14"/>
    </row>
    <row r="354" spans="2:2" ht="15.75" customHeight="1" x14ac:dyDescent="0.2">
      <c r="B354" s="14"/>
    </row>
    <row r="355" spans="2:2" ht="15.75" customHeight="1" x14ac:dyDescent="0.2">
      <c r="B355" s="14"/>
    </row>
    <row r="356" spans="2:2" ht="15.75" customHeight="1" x14ac:dyDescent="0.2">
      <c r="B356" s="14"/>
    </row>
    <row r="357" spans="2:2" ht="15.75" customHeight="1" x14ac:dyDescent="0.2">
      <c r="B357" s="14"/>
    </row>
    <row r="358" spans="2:2" ht="15.75" customHeight="1" x14ac:dyDescent="0.2">
      <c r="B358" s="14"/>
    </row>
    <row r="359" spans="2:2" ht="15.75" customHeight="1" x14ac:dyDescent="0.2">
      <c r="B359" s="14"/>
    </row>
    <row r="360" spans="2:2" ht="15.75" customHeight="1" x14ac:dyDescent="0.2">
      <c r="B360" s="14"/>
    </row>
    <row r="361" spans="2:2" ht="15.75" customHeight="1" x14ac:dyDescent="0.2">
      <c r="B361" s="14"/>
    </row>
    <row r="362" spans="2:2" ht="15.75" customHeight="1" x14ac:dyDescent="0.2">
      <c r="B362" s="14"/>
    </row>
    <row r="363" spans="2:2" ht="15.75" customHeight="1" x14ac:dyDescent="0.2">
      <c r="B363" s="14"/>
    </row>
    <row r="364" spans="2:2" ht="15.75" customHeight="1" x14ac:dyDescent="0.2">
      <c r="B364" s="14"/>
    </row>
    <row r="365" spans="2:2" ht="15.75" customHeight="1" x14ac:dyDescent="0.2">
      <c r="B365" s="14"/>
    </row>
    <row r="366" spans="2:2" ht="15.75" customHeight="1" x14ac:dyDescent="0.2">
      <c r="B366" s="14"/>
    </row>
    <row r="367" spans="2:2" ht="15.75" customHeight="1" x14ac:dyDescent="0.2">
      <c r="B367" s="14"/>
    </row>
    <row r="368" spans="2:2" ht="15.75" customHeight="1" x14ac:dyDescent="0.2">
      <c r="B368" s="14"/>
    </row>
    <row r="369" spans="2:2" ht="15.75" customHeight="1" x14ac:dyDescent="0.2">
      <c r="B369" s="14"/>
    </row>
    <row r="370" spans="2:2" ht="15.75" customHeight="1" x14ac:dyDescent="0.2">
      <c r="B370" s="14"/>
    </row>
    <row r="371" spans="2:2" ht="15.75" customHeight="1" x14ac:dyDescent="0.2">
      <c r="B371" s="14"/>
    </row>
    <row r="372" spans="2:2" ht="15.75" customHeight="1" x14ac:dyDescent="0.2">
      <c r="B372" s="14"/>
    </row>
    <row r="373" spans="2:2" ht="15.75" customHeight="1" x14ac:dyDescent="0.2">
      <c r="B373" s="14"/>
    </row>
    <row r="374" spans="2:2" ht="15.75" customHeight="1" x14ac:dyDescent="0.2">
      <c r="B374" s="14"/>
    </row>
    <row r="375" spans="2:2" ht="15.75" customHeight="1" x14ac:dyDescent="0.2">
      <c r="B375" s="14"/>
    </row>
    <row r="376" spans="2:2" ht="15.75" customHeight="1" x14ac:dyDescent="0.2">
      <c r="B376" s="14"/>
    </row>
    <row r="377" spans="2:2" ht="15.75" customHeight="1" x14ac:dyDescent="0.2">
      <c r="B377" s="14"/>
    </row>
    <row r="378" spans="2:2" ht="15.75" customHeight="1" x14ac:dyDescent="0.2">
      <c r="B378" s="14"/>
    </row>
    <row r="379" spans="2:2" ht="15.75" customHeight="1" x14ac:dyDescent="0.2">
      <c r="B379" s="14"/>
    </row>
    <row r="380" spans="2:2" ht="15.75" customHeight="1" x14ac:dyDescent="0.2">
      <c r="B380" s="14"/>
    </row>
    <row r="381" spans="2:2" ht="15.75" customHeight="1" x14ac:dyDescent="0.2">
      <c r="B381" s="14"/>
    </row>
    <row r="382" spans="2:2" ht="15.75" customHeight="1" x14ac:dyDescent="0.2">
      <c r="B382" s="14"/>
    </row>
    <row r="383" spans="2:2" ht="15.75" customHeight="1" x14ac:dyDescent="0.2">
      <c r="B383" s="14"/>
    </row>
    <row r="384" spans="2:2" ht="15.75" customHeight="1" x14ac:dyDescent="0.2">
      <c r="B384" s="14"/>
    </row>
    <row r="385" spans="2:2" ht="15.75" customHeight="1" x14ac:dyDescent="0.2">
      <c r="B385" s="14"/>
    </row>
    <row r="386" spans="2:2" ht="15.75" customHeight="1" x14ac:dyDescent="0.2">
      <c r="B386" s="14"/>
    </row>
    <row r="387" spans="2:2" ht="15.75" customHeight="1" x14ac:dyDescent="0.2">
      <c r="B387" s="14"/>
    </row>
    <row r="388" spans="2:2" ht="15.75" customHeight="1" x14ac:dyDescent="0.2">
      <c r="B388" s="14"/>
    </row>
    <row r="389" spans="2:2" ht="15.75" customHeight="1" x14ac:dyDescent="0.2">
      <c r="B389" s="14"/>
    </row>
    <row r="390" spans="2:2" ht="15.75" customHeight="1" x14ac:dyDescent="0.2">
      <c r="B390" s="14"/>
    </row>
    <row r="391" spans="2:2" ht="15.75" customHeight="1" x14ac:dyDescent="0.2">
      <c r="B391" s="14"/>
    </row>
    <row r="392" spans="2:2" ht="15.75" customHeight="1" x14ac:dyDescent="0.2">
      <c r="B392" s="14"/>
    </row>
    <row r="393" spans="2:2" ht="15.75" customHeight="1" x14ac:dyDescent="0.2">
      <c r="B393" s="14"/>
    </row>
    <row r="394" spans="2:2" ht="15.75" customHeight="1" x14ac:dyDescent="0.2">
      <c r="B394" s="14"/>
    </row>
    <row r="395" spans="2:2" ht="15.75" customHeight="1" x14ac:dyDescent="0.2">
      <c r="B395" s="14"/>
    </row>
    <row r="396" spans="2:2" ht="15.75" customHeight="1" x14ac:dyDescent="0.2">
      <c r="B396" s="14"/>
    </row>
    <row r="397" spans="2:2" ht="15.75" customHeight="1" x14ac:dyDescent="0.2">
      <c r="B397" s="14"/>
    </row>
    <row r="398" spans="2:2" ht="15.75" customHeight="1" x14ac:dyDescent="0.2">
      <c r="B398" s="14"/>
    </row>
    <row r="399" spans="2:2" ht="15.75" customHeight="1" x14ac:dyDescent="0.2">
      <c r="B399" s="14"/>
    </row>
    <row r="400" spans="2:2" ht="15.75" customHeight="1" x14ac:dyDescent="0.2">
      <c r="B400" s="14"/>
    </row>
    <row r="401" spans="2:2" ht="15.75" customHeight="1" x14ac:dyDescent="0.2">
      <c r="B401" s="14"/>
    </row>
    <row r="402" spans="2:2" ht="15.75" customHeight="1" x14ac:dyDescent="0.2">
      <c r="B402" s="14"/>
    </row>
    <row r="403" spans="2:2" ht="15.75" customHeight="1" x14ac:dyDescent="0.2">
      <c r="B403" s="14"/>
    </row>
    <row r="404" spans="2:2" ht="15.75" customHeight="1" x14ac:dyDescent="0.2">
      <c r="B404" s="14"/>
    </row>
    <row r="405" spans="2:2" ht="15.75" customHeight="1" x14ac:dyDescent="0.2">
      <c r="B405" s="14"/>
    </row>
    <row r="406" spans="2:2" ht="15.75" customHeight="1" x14ac:dyDescent="0.2">
      <c r="B406" s="14"/>
    </row>
    <row r="407" spans="2:2" ht="15.75" customHeight="1" x14ac:dyDescent="0.2">
      <c r="B407" s="14"/>
    </row>
    <row r="408" spans="2:2" ht="15.75" customHeight="1" x14ac:dyDescent="0.2">
      <c r="B408" s="14"/>
    </row>
    <row r="409" spans="2:2" ht="15.75" customHeight="1" x14ac:dyDescent="0.2">
      <c r="B409" s="14"/>
    </row>
    <row r="410" spans="2:2" ht="15.75" customHeight="1" x14ac:dyDescent="0.2">
      <c r="B410" s="14"/>
    </row>
    <row r="411" spans="2:2" ht="15.75" customHeight="1" x14ac:dyDescent="0.2">
      <c r="B411" s="14"/>
    </row>
    <row r="412" spans="2:2" ht="15.75" customHeight="1" x14ac:dyDescent="0.2">
      <c r="B412" s="14"/>
    </row>
    <row r="413" spans="2:2" ht="15.75" customHeight="1" x14ac:dyDescent="0.2">
      <c r="B413" s="14"/>
    </row>
    <row r="414" spans="2:2" ht="15.75" customHeight="1" x14ac:dyDescent="0.2">
      <c r="B414" s="14"/>
    </row>
    <row r="415" spans="2:2" ht="15.75" customHeight="1" x14ac:dyDescent="0.2">
      <c r="B415" s="14"/>
    </row>
    <row r="416" spans="2:2" ht="15.75" customHeight="1" x14ac:dyDescent="0.2">
      <c r="B416" s="14"/>
    </row>
    <row r="417" spans="2:2" ht="15.75" customHeight="1" x14ac:dyDescent="0.2">
      <c r="B417" s="14"/>
    </row>
    <row r="418" spans="2:2" ht="15.75" customHeight="1" x14ac:dyDescent="0.2">
      <c r="B418" s="14"/>
    </row>
    <row r="419" spans="2:2" ht="15.75" customHeight="1" x14ac:dyDescent="0.2">
      <c r="B419" s="14"/>
    </row>
    <row r="420" spans="2:2" ht="15.75" customHeight="1" x14ac:dyDescent="0.2">
      <c r="B420" s="14"/>
    </row>
    <row r="421" spans="2:2" ht="15.75" customHeight="1" x14ac:dyDescent="0.2">
      <c r="B421" s="14"/>
    </row>
    <row r="422" spans="2:2" ht="15.75" customHeight="1" x14ac:dyDescent="0.2">
      <c r="B422" s="14"/>
    </row>
    <row r="423" spans="2:2" ht="15.75" customHeight="1" x14ac:dyDescent="0.2">
      <c r="B423" s="14"/>
    </row>
    <row r="424" spans="2:2" ht="15.75" customHeight="1" x14ac:dyDescent="0.2">
      <c r="B424" s="14"/>
    </row>
    <row r="425" spans="2:2" ht="15.75" customHeight="1" x14ac:dyDescent="0.2">
      <c r="B425" s="14"/>
    </row>
    <row r="426" spans="2:2" ht="15.75" customHeight="1" x14ac:dyDescent="0.2">
      <c r="B426" s="14"/>
    </row>
    <row r="427" spans="2:2" ht="15.75" customHeight="1" x14ac:dyDescent="0.2">
      <c r="B427" s="14"/>
    </row>
    <row r="428" spans="2:2" ht="15.75" customHeight="1" x14ac:dyDescent="0.2">
      <c r="B428" s="14"/>
    </row>
    <row r="429" spans="2:2" ht="15.75" customHeight="1" x14ac:dyDescent="0.2">
      <c r="B429" s="14"/>
    </row>
    <row r="430" spans="2:2" ht="15.75" customHeight="1" x14ac:dyDescent="0.2">
      <c r="B430" s="14"/>
    </row>
    <row r="431" spans="2:2" ht="15.75" customHeight="1" x14ac:dyDescent="0.2">
      <c r="B431" s="14"/>
    </row>
    <row r="432" spans="2:2" ht="15.75" customHeight="1" x14ac:dyDescent="0.2">
      <c r="B432" s="14"/>
    </row>
    <row r="433" spans="2:2" ht="15.75" customHeight="1" x14ac:dyDescent="0.2">
      <c r="B433" s="14"/>
    </row>
    <row r="434" spans="2:2" ht="15.75" customHeight="1" x14ac:dyDescent="0.2">
      <c r="B434" s="14"/>
    </row>
    <row r="435" spans="2:2" ht="15.75" customHeight="1" x14ac:dyDescent="0.2">
      <c r="B435" s="14"/>
    </row>
    <row r="436" spans="2:2" ht="15.75" customHeight="1" x14ac:dyDescent="0.2">
      <c r="B436" s="14"/>
    </row>
    <row r="437" spans="2:2" ht="15.75" customHeight="1" x14ac:dyDescent="0.2">
      <c r="B437" s="14"/>
    </row>
    <row r="438" spans="2:2" ht="15.75" customHeight="1" x14ac:dyDescent="0.2">
      <c r="B438" s="14"/>
    </row>
    <row r="439" spans="2:2" ht="15.75" customHeight="1" x14ac:dyDescent="0.2">
      <c r="B439" s="14"/>
    </row>
    <row r="440" spans="2:2" ht="15.75" customHeight="1" x14ac:dyDescent="0.2">
      <c r="B440" s="14"/>
    </row>
    <row r="441" spans="2:2" ht="15.75" customHeight="1" x14ac:dyDescent="0.2">
      <c r="B441" s="14"/>
    </row>
    <row r="442" spans="2:2" ht="15.75" customHeight="1" x14ac:dyDescent="0.2">
      <c r="B442" s="14"/>
    </row>
    <row r="443" spans="2:2" ht="15.75" customHeight="1" x14ac:dyDescent="0.2">
      <c r="B443" s="14"/>
    </row>
    <row r="444" spans="2:2" ht="15.75" customHeight="1" x14ac:dyDescent="0.2">
      <c r="B444" s="14"/>
    </row>
    <row r="445" spans="2:2" ht="15.75" customHeight="1" x14ac:dyDescent="0.2">
      <c r="B445" s="14"/>
    </row>
    <row r="446" spans="2:2" ht="15.75" customHeight="1" x14ac:dyDescent="0.2">
      <c r="B446" s="14"/>
    </row>
    <row r="447" spans="2:2" ht="15.75" customHeight="1" x14ac:dyDescent="0.2">
      <c r="B447" s="14"/>
    </row>
    <row r="448" spans="2:2" ht="15.75" customHeight="1" x14ac:dyDescent="0.2">
      <c r="B448" s="14"/>
    </row>
    <row r="449" spans="2:2" ht="15.75" customHeight="1" x14ac:dyDescent="0.2">
      <c r="B449" s="14"/>
    </row>
    <row r="450" spans="2:2" ht="15.75" customHeight="1" x14ac:dyDescent="0.2">
      <c r="B450" s="14"/>
    </row>
    <row r="451" spans="2:2" ht="15.75" customHeight="1" x14ac:dyDescent="0.2">
      <c r="B451" s="14"/>
    </row>
    <row r="452" spans="2:2" ht="15.75" customHeight="1" x14ac:dyDescent="0.2">
      <c r="B452" s="14"/>
    </row>
    <row r="453" spans="2:2" ht="15.75" customHeight="1" x14ac:dyDescent="0.2">
      <c r="B453" s="14"/>
    </row>
    <row r="454" spans="2:2" ht="15.75" customHeight="1" x14ac:dyDescent="0.2">
      <c r="B454" s="14"/>
    </row>
    <row r="455" spans="2:2" ht="15.75" customHeight="1" x14ac:dyDescent="0.2">
      <c r="B455" s="14"/>
    </row>
    <row r="456" spans="2:2" ht="15.75" customHeight="1" x14ac:dyDescent="0.2">
      <c r="B456" s="14"/>
    </row>
    <row r="457" spans="2:2" ht="15.75" customHeight="1" x14ac:dyDescent="0.2">
      <c r="B457" s="14"/>
    </row>
    <row r="458" spans="2:2" ht="15.75" customHeight="1" x14ac:dyDescent="0.2">
      <c r="B458" s="14"/>
    </row>
    <row r="459" spans="2:2" ht="15.75" customHeight="1" x14ac:dyDescent="0.2">
      <c r="B459" s="14"/>
    </row>
    <row r="460" spans="2:2" ht="15.75" customHeight="1" x14ac:dyDescent="0.2">
      <c r="B460" s="14"/>
    </row>
    <row r="461" spans="2:2" ht="15.75" customHeight="1" x14ac:dyDescent="0.2">
      <c r="B461" s="14"/>
    </row>
    <row r="462" spans="2:2" ht="15.75" customHeight="1" x14ac:dyDescent="0.2">
      <c r="B462" s="14"/>
    </row>
    <row r="463" spans="2:2" ht="15.75" customHeight="1" x14ac:dyDescent="0.2">
      <c r="B463" s="14"/>
    </row>
    <row r="464" spans="2:2" ht="15.75" customHeight="1" x14ac:dyDescent="0.2">
      <c r="B464" s="14"/>
    </row>
    <row r="465" spans="2:2" ht="15.75" customHeight="1" x14ac:dyDescent="0.2">
      <c r="B465" s="14"/>
    </row>
    <row r="466" spans="2:2" ht="15.75" customHeight="1" x14ac:dyDescent="0.2">
      <c r="B466" s="14"/>
    </row>
    <row r="467" spans="2:2" ht="15.75" customHeight="1" x14ac:dyDescent="0.2">
      <c r="B467" s="14"/>
    </row>
    <row r="468" spans="2:2" ht="15.75" customHeight="1" x14ac:dyDescent="0.2">
      <c r="B468" s="14"/>
    </row>
    <row r="469" spans="2:2" ht="15.75" customHeight="1" x14ac:dyDescent="0.2">
      <c r="B469" s="14"/>
    </row>
    <row r="470" spans="2:2" ht="15.75" customHeight="1" x14ac:dyDescent="0.2">
      <c r="B470" s="14"/>
    </row>
    <row r="471" spans="2:2" ht="15.75" customHeight="1" x14ac:dyDescent="0.2">
      <c r="B471" s="14"/>
    </row>
    <row r="472" spans="2:2" ht="15.75" customHeight="1" x14ac:dyDescent="0.2">
      <c r="B472" s="14"/>
    </row>
    <row r="473" spans="2:2" ht="15.75" customHeight="1" x14ac:dyDescent="0.2">
      <c r="B473" s="14"/>
    </row>
    <row r="474" spans="2:2" ht="15.75" customHeight="1" x14ac:dyDescent="0.2">
      <c r="B474" s="14"/>
    </row>
    <row r="475" spans="2:2" ht="15.75" customHeight="1" x14ac:dyDescent="0.2">
      <c r="B475" s="14"/>
    </row>
    <row r="476" spans="2:2" ht="15.75" customHeight="1" x14ac:dyDescent="0.2">
      <c r="B476" s="14"/>
    </row>
    <row r="477" spans="2:2" ht="15.75" customHeight="1" x14ac:dyDescent="0.2">
      <c r="B477" s="14"/>
    </row>
    <row r="478" spans="2:2" ht="15.75" customHeight="1" x14ac:dyDescent="0.2">
      <c r="B478" s="14"/>
    </row>
    <row r="479" spans="2:2" ht="15.75" customHeight="1" x14ac:dyDescent="0.2">
      <c r="B479" s="14"/>
    </row>
    <row r="480" spans="2:2" ht="15.75" customHeight="1" x14ac:dyDescent="0.2">
      <c r="B480" s="14"/>
    </row>
    <row r="481" spans="2:2" ht="15.75" customHeight="1" x14ac:dyDescent="0.2">
      <c r="B481" s="14"/>
    </row>
    <row r="482" spans="2:2" ht="15.75" customHeight="1" x14ac:dyDescent="0.2">
      <c r="B482" s="14"/>
    </row>
    <row r="483" spans="2:2" ht="15.75" customHeight="1" x14ac:dyDescent="0.2">
      <c r="B483" s="14"/>
    </row>
    <row r="484" spans="2:2" ht="15.75" customHeight="1" x14ac:dyDescent="0.2">
      <c r="B484" s="14"/>
    </row>
    <row r="485" spans="2:2" ht="15.75" customHeight="1" x14ac:dyDescent="0.2">
      <c r="B485" s="14"/>
    </row>
    <row r="486" spans="2:2" ht="15.75" customHeight="1" x14ac:dyDescent="0.2">
      <c r="B486" s="14"/>
    </row>
    <row r="487" spans="2:2" ht="15.75" customHeight="1" x14ac:dyDescent="0.2">
      <c r="B487" s="14"/>
    </row>
    <row r="488" spans="2:2" ht="15.75" customHeight="1" x14ac:dyDescent="0.2">
      <c r="B488" s="14"/>
    </row>
    <row r="489" spans="2:2" ht="15.75" customHeight="1" x14ac:dyDescent="0.2">
      <c r="B489" s="14"/>
    </row>
    <row r="490" spans="2:2" ht="15.75" customHeight="1" x14ac:dyDescent="0.2">
      <c r="B490" s="14"/>
    </row>
    <row r="491" spans="2:2" ht="15.75" customHeight="1" x14ac:dyDescent="0.2">
      <c r="B491" s="14"/>
    </row>
    <row r="492" spans="2:2" ht="15.75" customHeight="1" x14ac:dyDescent="0.2">
      <c r="B492" s="14"/>
    </row>
    <row r="493" spans="2:2" ht="15.75" customHeight="1" x14ac:dyDescent="0.2">
      <c r="B493" s="14"/>
    </row>
    <row r="494" spans="2:2" ht="15.75" customHeight="1" x14ac:dyDescent="0.2">
      <c r="B494" s="14"/>
    </row>
    <row r="495" spans="2:2" ht="15.75" customHeight="1" x14ac:dyDescent="0.2">
      <c r="B495" s="14"/>
    </row>
    <row r="496" spans="2:2" ht="15.75" customHeight="1" x14ac:dyDescent="0.2">
      <c r="B496" s="14"/>
    </row>
    <row r="497" spans="2:2" ht="15.75" customHeight="1" x14ac:dyDescent="0.2">
      <c r="B497" s="14"/>
    </row>
    <row r="498" spans="2:2" ht="15.75" customHeight="1" x14ac:dyDescent="0.2">
      <c r="B498" s="14"/>
    </row>
    <row r="499" spans="2:2" ht="15.75" customHeight="1" x14ac:dyDescent="0.2">
      <c r="B499" s="14"/>
    </row>
    <row r="500" spans="2:2" ht="15.75" customHeight="1" x14ac:dyDescent="0.2">
      <c r="B500" s="14"/>
    </row>
    <row r="501" spans="2:2" ht="15.75" customHeight="1" x14ac:dyDescent="0.2">
      <c r="B501" s="14"/>
    </row>
    <row r="502" spans="2:2" ht="15.75" customHeight="1" x14ac:dyDescent="0.2">
      <c r="B502" s="14"/>
    </row>
    <row r="503" spans="2:2" ht="15.75" customHeight="1" x14ac:dyDescent="0.2">
      <c r="B503" s="14"/>
    </row>
    <row r="504" spans="2:2" ht="15.75" customHeight="1" x14ac:dyDescent="0.2">
      <c r="B504" s="14"/>
    </row>
    <row r="505" spans="2:2" ht="15.75" customHeight="1" x14ac:dyDescent="0.2">
      <c r="B505" s="14"/>
    </row>
    <row r="506" spans="2:2" ht="15.75" customHeight="1" x14ac:dyDescent="0.2">
      <c r="B506" s="14"/>
    </row>
    <row r="507" spans="2:2" ht="15.75" customHeight="1" x14ac:dyDescent="0.2">
      <c r="B507" s="14"/>
    </row>
    <row r="508" spans="2:2" ht="15.75" customHeight="1" x14ac:dyDescent="0.2">
      <c r="B508" s="14"/>
    </row>
    <row r="509" spans="2:2" ht="15.75" customHeight="1" x14ac:dyDescent="0.2">
      <c r="B509" s="14"/>
    </row>
    <row r="510" spans="2:2" ht="15.75" customHeight="1" x14ac:dyDescent="0.2">
      <c r="B510" s="14"/>
    </row>
    <row r="511" spans="2:2" ht="15.75" customHeight="1" x14ac:dyDescent="0.2">
      <c r="B511" s="14"/>
    </row>
    <row r="512" spans="2:2" ht="15.75" customHeight="1" x14ac:dyDescent="0.2">
      <c r="B512" s="14"/>
    </row>
    <row r="513" spans="2:2" ht="15.75" customHeight="1" x14ac:dyDescent="0.2">
      <c r="B513" s="14"/>
    </row>
    <row r="514" spans="2:2" ht="15.75" customHeight="1" x14ac:dyDescent="0.2">
      <c r="B514" s="14"/>
    </row>
    <row r="515" spans="2:2" ht="15.75" customHeight="1" x14ac:dyDescent="0.2">
      <c r="B515" s="14"/>
    </row>
    <row r="516" spans="2:2" ht="15.75" customHeight="1" x14ac:dyDescent="0.2">
      <c r="B516" s="14"/>
    </row>
    <row r="517" spans="2:2" ht="15.75" customHeight="1" x14ac:dyDescent="0.2">
      <c r="B517" s="14"/>
    </row>
    <row r="518" spans="2:2" ht="15.75" customHeight="1" x14ac:dyDescent="0.2">
      <c r="B518" s="14"/>
    </row>
    <row r="519" spans="2:2" ht="15.75" customHeight="1" x14ac:dyDescent="0.2">
      <c r="B519" s="14"/>
    </row>
    <row r="520" spans="2:2" ht="15.75" customHeight="1" x14ac:dyDescent="0.2">
      <c r="B520" s="14"/>
    </row>
    <row r="521" spans="2:2" ht="15.75" customHeight="1" x14ac:dyDescent="0.2">
      <c r="B521" s="14"/>
    </row>
    <row r="522" spans="2:2" ht="15.75" customHeight="1" x14ac:dyDescent="0.2">
      <c r="B522" s="14"/>
    </row>
    <row r="523" spans="2:2" ht="15.75" customHeight="1" x14ac:dyDescent="0.2">
      <c r="B523" s="14"/>
    </row>
    <row r="524" spans="2:2" ht="15.75" customHeight="1" x14ac:dyDescent="0.2">
      <c r="B524" s="14"/>
    </row>
    <row r="525" spans="2:2" ht="15.75" customHeight="1" x14ac:dyDescent="0.2">
      <c r="B525" s="14"/>
    </row>
    <row r="526" spans="2:2" ht="15.75" customHeight="1" x14ac:dyDescent="0.2">
      <c r="B526" s="14"/>
    </row>
    <row r="527" spans="2:2" ht="15.75" customHeight="1" x14ac:dyDescent="0.2">
      <c r="B527" s="14"/>
    </row>
    <row r="528" spans="2:2" ht="15.75" customHeight="1" x14ac:dyDescent="0.2">
      <c r="B528" s="14"/>
    </row>
    <row r="529" spans="2:2" ht="15.75" customHeight="1" x14ac:dyDescent="0.2">
      <c r="B529" s="14"/>
    </row>
    <row r="530" spans="2:2" ht="15.75" customHeight="1" x14ac:dyDescent="0.2">
      <c r="B530" s="14"/>
    </row>
    <row r="531" spans="2:2" ht="15.75" customHeight="1" x14ac:dyDescent="0.2">
      <c r="B531" s="14"/>
    </row>
    <row r="532" spans="2:2" ht="15.75" customHeight="1" x14ac:dyDescent="0.2">
      <c r="B532" s="14"/>
    </row>
    <row r="533" spans="2:2" ht="15.75" customHeight="1" x14ac:dyDescent="0.2">
      <c r="B533" s="14"/>
    </row>
    <row r="534" spans="2:2" ht="15.75" customHeight="1" x14ac:dyDescent="0.2">
      <c r="B534" s="14"/>
    </row>
    <row r="535" spans="2:2" ht="15.75" customHeight="1" x14ac:dyDescent="0.2">
      <c r="B535" s="14"/>
    </row>
    <row r="536" spans="2:2" ht="15.75" customHeight="1" x14ac:dyDescent="0.2">
      <c r="B536" s="14"/>
    </row>
    <row r="537" spans="2:2" ht="15.75" customHeight="1" x14ac:dyDescent="0.2">
      <c r="B537" s="14"/>
    </row>
    <row r="538" spans="2:2" ht="15.75" customHeight="1" x14ac:dyDescent="0.2">
      <c r="B538" s="14"/>
    </row>
    <row r="539" spans="2:2" ht="15.75" customHeight="1" x14ac:dyDescent="0.2">
      <c r="B539" s="14"/>
    </row>
    <row r="540" spans="2:2" ht="15.75" customHeight="1" x14ac:dyDescent="0.2">
      <c r="B540" s="14"/>
    </row>
    <row r="541" spans="2:2" ht="15.75" customHeight="1" x14ac:dyDescent="0.2">
      <c r="B541" s="14"/>
    </row>
    <row r="542" spans="2:2" ht="15.75" customHeight="1" x14ac:dyDescent="0.2">
      <c r="B542" s="14"/>
    </row>
    <row r="543" spans="2:2" ht="15.75" customHeight="1" x14ac:dyDescent="0.2">
      <c r="B543" s="14"/>
    </row>
    <row r="544" spans="2:2" ht="15.75" customHeight="1" x14ac:dyDescent="0.2">
      <c r="B544" s="14"/>
    </row>
    <row r="545" spans="2:2" ht="15.75" customHeight="1" x14ac:dyDescent="0.2">
      <c r="B545" s="14"/>
    </row>
    <row r="546" spans="2:2" ht="15.75" customHeight="1" x14ac:dyDescent="0.2">
      <c r="B546" s="14"/>
    </row>
    <row r="547" spans="2:2" ht="15.75" customHeight="1" x14ac:dyDescent="0.2">
      <c r="B547" s="14"/>
    </row>
    <row r="548" spans="2:2" ht="15.75" customHeight="1" x14ac:dyDescent="0.2">
      <c r="B548" s="14"/>
    </row>
    <row r="549" spans="2:2" ht="15.75" customHeight="1" x14ac:dyDescent="0.2">
      <c r="B549" s="14"/>
    </row>
    <row r="550" spans="2:2" ht="15.75" customHeight="1" x14ac:dyDescent="0.2">
      <c r="B550" s="14"/>
    </row>
    <row r="551" spans="2:2" ht="15.75" customHeight="1" x14ac:dyDescent="0.2">
      <c r="B551" s="14"/>
    </row>
    <row r="552" spans="2:2" ht="15.75" customHeight="1" x14ac:dyDescent="0.2">
      <c r="B552" s="14"/>
    </row>
    <row r="553" spans="2:2" ht="15.75" customHeight="1" x14ac:dyDescent="0.2">
      <c r="B553" s="14"/>
    </row>
    <row r="554" spans="2:2" ht="15.75" customHeight="1" x14ac:dyDescent="0.2">
      <c r="B554" s="14"/>
    </row>
    <row r="555" spans="2:2" ht="15.75" customHeight="1" x14ac:dyDescent="0.2">
      <c r="B555" s="14"/>
    </row>
    <row r="556" spans="2:2" ht="15.75" customHeight="1" x14ac:dyDescent="0.2">
      <c r="B556" s="14"/>
    </row>
    <row r="557" spans="2:2" ht="15.75" customHeight="1" x14ac:dyDescent="0.2">
      <c r="B557" s="14"/>
    </row>
    <row r="558" spans="2:2" ht="15.75" customHeight="1" x14ac:dyDescent="0.2">
      <c r="B558" s="14"/>
    </row>
    <row r="559" spans="2:2" ht="15.75" customHeight="1" x14ac:dyDescent="0.2">
      <c r="B559" s="14"/>
    </row>
    <row r="560" spans="2:2" ht="15.75" customHeight="1" x14ac:dyDescent="0.2">
      <c r="B560" s="14"/>
    </row>
    <row r="561" spans="2:2" ht="15.75" customHeight="1" x14ac:dyDescent="0.2">
      <c r="B561" s="14"/>
    </row>
    <row r="562" spans="2:2" ht="15.75" customHeight="1" x14ac:dyDescent="0.2">
      <c r="B562" s="14"/>
    </row>
    <row r="563" spans="2:2" ht="15.75" customHeight="1" x14ac:dyDescent="0.2">
      <c r="B563" s="14"/>
    </row>
    <row r="564" spans="2:2" ht="15.75" customHeight="1" x14ac:dyDescent="0.2">
      <c r="B564" s="14"/>
    </row>
    <row r="565" spans="2:2" ht="15.75" customHeight="1" x14ac:dyDescent="0.2">
      <c r="B565" s="14"/>
    </row>
    <row r="566" spans="2:2" ht="15.75" customHeight="1" x14ac:dyDescent="0.2">
      <c r="B566" s="14"/>
    </row>
    <row r="567" spans="2:2" ht="15.75" customHeight="1" x14ac:dyDescent="0.2">
      <c r="B567" s="14"/>
    </row>
    <row r="568" spans="2:2" ht="15.75" customHeight="1" x14ac:dyDescent="0.2">
      <c r="B568" s="14"/>
    </row>
    <row r="569" spans="2:2" ht="15.75" customHeight="1" x14ac:dyDescent="0.2">
      <c r="B569" s="14"/>
    </row>
    <row r="570" spans="2:2" ht="15.75" customHeight="1" x14ac:dyDescent="0.2">
      <c r="B570" s="14"/>
    </row>
    <row r="571" spans="2:2" ht="15.75" customHeight="1" x14ac:dyDescent="0.2">
      <c r="B571" s="14"/>
    </row>
    <row r="572" spans="2:2" ht="15.75" customHeight="1" x14ac:dyDescent="0.2">
      <c r="B572" s="14"/>
    </row>
    <row r="573" spans="2:2" ht="15.75" customHeight="1" x14ac:dyDescent="0.2">
      <c r="B573" s="14"/>
    </row>
    <row r="574" spans="2:2" ht="15.75" customHeight="1" x14ac:dyDescent="0.2">
      <c r="B574" s="14"/>
    </row>
    <row r="575" spans="2:2" ht="15.75" customHeight="1" x14ac:dyDescent="0.2">
      <c r="B575" s="14"/>
    </row>
    <row r="576" spans="2:2" ht="15.75" customHeight="1" x14ac:dyDescent="0.2">
      <c r="B576" s="14"/>
    </row>
    <row r="577" spans="2:2" ht="15.75" customHeight="1" x14ac:dyDescent="0.2">
      <c r="B577" s="14"/>
    </row>
    <row r="578" spans="2:2" ht="15.75" customHeight="1" x14ac:dyDescent="0.2">
      <c r="B578" s="14"/>
    </row>
    <row r="579" spans="2:2" ht="15.75" customHeight="1" x14ac:dyDescent="0.2">
      <c r="B579" s="14"/>
    </row>
    <row r="580" spans="2:2" ht="15.75" customHeight="1" x14ac:dyDescent="0.2">
      <c r="B580" s="14"/>
    </row>
    <row r="581" spans="2:2" ht="15.75" customHeight="1" x14ac:dyDescent="0.2">
      <c r="B581" s="14"/>
    </row>
    <row r="582" spans="2:2" ht="15.75" customHeight="1" x14ac:dyDescent="0.2">
      <c r="B582" s="14"/>
    </row>
    <row r="583" spans="2:2" ht="15.75" customHeight="1" x14ac:dyDescent="0.2">
      <c r="B583" s="14"/>
    </row>
    <row r="584" spans="2:2" ht="15.75" customHeight="1" x14ac:dyDescent="0.2">
      <c r="B584" s="14"/>
    </row>
    <row r="585" spans="2:2" ht="15.75" customHeight="1" x14ac:dyDescent="0.2">
      <c r="B585" s="14"/>
    </row>
    <row r="586" spans="2:2" ht="15.75" customHeight="1" x14ac:dyDescent="0.2">
      <c r="B586" s="14"/>
    </row>
    <row r="587" spans="2:2" ht="15.75" customHeight="1" x14ac:dyDescent="0.2">
      <c r="B587" s="14"/>
    </row>
    <row r="588" spans="2:2" ht="15.75" customHeight="1" x14ac:dyDescent="0.2">
      <c r="B588" s="14"/>
    </row>
    <row r="589" spans="2:2" ht="15.75" customHeight="1" x14ac:dyDescent="0.2">
      <c r="B589" s="14"/>
    </row>
    <row r="590" spans="2:2" ht="15.75" customHeight="1" x14ac:dyDescent="0.2">
      <c r="B590" s="14"/>
    </row>
    <row r="591" spans="2:2" ht="15.75" customHeight="1" x14ac:dyDescent="0.2">
      <c r="B591" s="14"/>
    </row>
    <row r="592" spans="2:2" ht="15.75" customHeight="1" x14ac:dyDescent="0.2">
      <c r="B592" s="14"/>
    </row>
    <row r="593" spans="2:2" ht="15.75" customHeight="1" x14ac:dyDescent="0.2">
      <c r="B593" s="14"/>
    </row>
    <row r="594" spans="2:2" ht="15.75" customHeight="1" x14ac:dyDescent="0.2">
      <c r="B594" s="14"/>
    </row>
    <row r="595" spans="2:2" ht="15.75" customHeight="1" x14ac:dyDescent="0.2">
      <c r="B595" s="14"/>
    </row>
    <row r="596" spans="2:2" ht="15.75" customHeight="1" x14ac:dyDescent="0.2">
      <c r="B596" s="14"/>
    </row>
    <row r="597" spans="2:2" ht="15.75" customHeight="1" x14ac:dyDescent="0.2">
      <c r="B597" s="14"/>
    </row>
    <row r="598" spans="2:2" ht="15.75" customHeight="1" x14ac:dyDescent="0.2">
      <c r="B598" s="14"/>
    </row>
    <row r="599" spans="2:2" ht="15.75" customHeight="1" x14ac:dyDescent="0.2">
      <c r="B599" s="14"/>
    </row>
    <row r="600" spans="2:2" ht="15.75" customHeight="1" x14ac:dyDescent="0.2">
      <c r="B600" s="14"/>
    </row>
    <row r="601" spans="2:2" ht="15.75" customHeight="1" x14ac:dyDescent="0.2">
      <c r="B601" s="14"/>
    </row>
    <row r="602" spans="2:2" ht="15.75" customHeight="1" x14ac:dyDescent="0.2">
      <c r="B602" s="14"/>
    </row>
    <row r="603" spans="2:2" ht="15.75" customHeight="1" x14ac:dyDescent="0.2">
      <c r="B603" s="14"/>
    </row>
    <row r="604" spans="2:2" ht="15.75" customHeight="1" x14ac:dyDescent="0.2">
      <c r="B604" s="14"/>
    </row>
    <row r="605" spans="2:2" ht="15.75" customHeight="1" x14ac:dyDescent="0.2">
      <c r="B605" s="14"/>
    </row>
    <row r="606" spans="2:2" ht="15.75" customHeight="1" x14ac:dyDescent="0.2">
      <c r="B606" s="14"/>
    </row>
    <row r="607" spans="2:2" ht="15.75" customHeight="1" x14ac:dyDescent="0.2">
      <c r="B607" s="14"/>
    </row>
    <row r="608" spans="2:2" ht="15.75" customHeight="1" x14ac:dyDescent="0.2">
      <c r="B608" s="14"/>
    </row>
    <row r="609" spans="2:2" ht="15.75" customHeight="1" x14ac:dyDescent="0.2">
      <c r="B609" s="14"/>
    </row>
    <row r="610" spans="2:2" ht="15.75" customHeight="1" x14ac:dyDescent="0.2">
      <c r="B610" s="14"/>
    </row>
    <row r="611" spans="2:2" ht="15.75" customHeight="1" x14ac:dyDescent="0.2">
      <c r="B611" s="14"/>
    </row>
    <row r="612" spans="2:2" ht="15.75" customHeight="1" x14ac:dyDescent="0.2">
      <c r="B612" s="14"/>
    </row>
    <row r="613" spans="2:2" ht="15.75" customHeight="1" x14ac:dyDescent="0.2">
      <c r="B613" s="14"/>
    </row>
    <row r="614" spans="2:2" ht="15.75" customHeight="1" x14ac:dyDescent="0.2">
      <c r="B614" s="14"/>
    </row>
    <row r="615" spans="2:2" ht="15.75" customHeight="1" x14ac:dyDescent="0.2">
      <c r="B615" s="14"/>
    </row>
    <row r="616" spans="2:2" ht="15.75" customHeight="1" x14ac:dyDescent="0.2">
      <c r="B616" s="14"/>
    </row>
    <row r="617" spans="2:2" ht="15.75" customHeight="1" x14ac:dyDescent="0.2">
      <c r="B617" s="14"/>
    </row>
    <row r="618" spans="2:2" ht="15.75" customHeight="1" x14ac:dyDescent="0.2">
      <c r="B618" s="14"/>
    </row>
    <row r="619" spans="2:2" ht="15.75" customHeight="1" x14ac:dyDescent="0.2">
      <c r="B619" s="14"/>
    </row>
    <row r="620" spans="2:2" ht="15.75" customHeight="1" x14ac:dyDescent="0.2">
      <c r="B620" s="14"/>
    </row>
    <row r="621" spans="2:2" ht="15.75" customHeight="1" x14ac:dyDescent="0.2">
      <c r="B621" s="14"/>
    </row>
    <row r="622" spans="2:2" ht="15.75" customHeight="1" x14ac:dyDescent="0.2">
      <c r="B622" s="14"/>
    </row>
    <row r="623" spans="2:2" ht="15.75" customHeight="1" x14ac:dyDescent="0.2">
      <c r="B623" s="14"/>
    </row>
    <row r="624" spans="2:2" ht="15.75" customHeight="1" x14ac:dyDescent="0.2">
      <c r="B624" s="14"/>
    </row>
    <row r="625" spans="2:2" ht="15.75" customHeight="1" x14ac:dyDescent="0.2">
      <c r="B625" s="14"/>
    </row>
    <row r="626" spans="2:2" ht="15.75" customHeight="1" x14ac:dyDescent="0.2">
      <c r="B626" s="14"/>
    </row>
    <row r="627" spans="2:2" ht="15.75" customHeight="1" x14ac:dyDescent="0.2">
      <c r="B627" s="14"/>
    </row>
    <row r="628" spans="2:2" ht="15.75" customHeight="1" x14ac:dyDescent="0.2">
      <c r="B628" s="14"/>
    </row>
    <row r="629" spans="2:2" ht="15.75" customHeight="1" x14ac:dyDescent="0.2">
      <c r="B629" s="14"/>
    </row>
    <row r="630" spans="2:2" ht="15.75" customHeight="1" x14ac:dyDescent="0.2">
      <c r="B630" s="14"/>
    </row>
    <row r="631" spans="2:2" ht="15.75" customHeight="1" x14ac:dyDescent="0.2">
      <c r="B631" s="14"/>
    </row>
    <row r="632" spans="2:2" ht="15.75" customHeight="1" x14ac:dyDescent="0.2">
      <c r="B632" s="14"/>
    </row>
    <row r="633" spans="2:2" ht="15.75" customHeight="1" x14ac:dyDescent="0.2">
      <c r="B633" s="14"/>
    </row>
    <row r="634" spans="2:2" ht="15.75" customHeight="1" x14ac:dyDescent="0.2">
      <c r="B634" s="14"/>
    </row>
    <row r="635" spans="2:2" ht="15.75" customHeight="1" x14ac:dyDescent="0.2">
      <c r="B635" s="14"/>
    </row>
    <row r="636" spans="2:2" ht="15.75" customHeight="1" x14ac:dyDescent="0.2">
      <c r="B636" s="14"/>
    </row>
    <row r="637" spans="2:2" ht="15.75" customHeight="1" x14ac:dyDescent="0.2">
      <c r="B637" s="14"/>
    </row>
    <row r="638" spans="2:2" ht="15.75" customHeight="1" x14ac:dyDescent="0.2">
      <c r="B638" s="14"/>
    </row>
    <row r="639" spans="2:2" ht="15.75" customHeight="1" x14ac:dyDescent="0.2">
      <c r="B639" s="14"/>
    </row>
    <row r="640" spans="2:2" ht="15.75" customHeight="1" x14ac:dyDescent="0.2">
      <c r="B640" s="14"/>
    </row>
    <row r="641" spans="2:2" ht="15.75" customHeight="1" x14ac:dyDescent="0.2">
      <c r="B641" s="14"/>
    </row>
    <row r="642" spans="2:2" ht="15.75" customHeight="1" x14ac:dyDescent="0.2">
      <c r="B642" s="14"/>
    </row>
    <row r="643" spans="2:2" ht="15.75" customHeight="1" x14ac:dyDescent="0.2">
      <c r="B643" s="14"/>
    </row>
    <row r="644" spans="2:2" ht="15.75" customHeight="1" x14ac:dyDescent="0.2">
      <c r="B644" s="14"/>
    </row>
    <row r="645" spans="2:2" ht="15.75" customHeight="1" x14ac:dyDescent="0.2">
      <c r="B645" s="14"/>
    </row>
    <row r="646" spans="2:2" ht="15.75" customHeight="1" x14ac:dyDescent="0.2">
      <c r="B646" s="14"/>
    </row>
    <row r="647" spans="2:2" ht="15.75" customHeight="1" x14ac:dyDescent="0.2">
      <c r="B647" s="14"/>
    </row>
    <row r="648" spans="2:2" ht="15.75" customHeight="1" x14ac:dyDescent="0.2">
      <c r="B648" s="14"/>
    </row>
    <row r="649" spans="2:2" ht="15.75" customHeight="1" x14ac:dyDescent="0.2">
      <c r="B649" s="14"/>
    </row>
    <row r="650" spans="2:2" ht="15.75" customHeight="1" x14ac:dyDescent="0.2">
      <c r="B650" s="14"/>
    </row>
    <row r="651" spans="2:2" ht="15.75" customHeight="1" x14ac:dyDescent="0.2">
      <c r="B651" s="14"/>
    </row>
    <row r="652" spans="2:2" ht="15.75" customHeight="1" x14ac:dyDescent="0.2">
      <c r="B652" s="14"/>
    </row>
    <row r="653" spans="2:2" ht="15.75" customHeight="1" x14ac:dyDescent="0.2">
      <c r="B653" s="14"/>
    </row>
    <row r="654" spans="2:2" ht="15.75" customHeight="1" x14ac:dyDescent="0.2">
      <c r="B654" s="14"/>
    </row>
    <row r="655" spans="2:2" ht="15.75" customHeight="1" x14ac:dyDescent="0.2">
      <c r="B655" s="14"/>
    </row>
    <row r="656" spans="2:2" ht="15.75" customHeight="1" x14ac:dyDescent="0.2">
      <c r="B656" s="14"/>
    </row>
    <row r="657" spans="2:2" ht="15.75" customHeight="1" x14ac:dyDescent="0.2">
      <c r="B657" s="14"/>
    </row>
    <row r="658" spans="2:2" ht="15.75" customHeight="1" x14ac:dyDescent="0.2">
      <c r="B658" s="14"/>
    </row>
    <row r="659" spans="2:2" ht="15.75" customHeight="1" x14ac:dyDescent="0.2">
      <c r="B659" s="14"/>
    </row>
    <row r="660" spans="2:2" ht="15.75" customHeight="1" x14ac:dyDescent="0.2">
      <c r="B660" s="14"/>
    </row>
    <row r="661" spans="2:2" ht="15.75" customHeight="1" x14ac:dyDescent="0.2">
      <c r="B661" s="14"/>
    </row>
    <row r="662" spans="2:2" ht="15.75" customHeight="1" x14ac:dyDescent="0.2">
      <c r="B662" s="14"/>
    </row>
    <row r="663" spans="2:2" ht="15.75" customHeight="1" x14ac:dyDescent="0.2">
      <c r="B663" s="14"/>
    </row>
    <row r="664" spans="2:2" ht="15.75" customHeight="1" x14ac:dyDescent="0.2">
      <c r="B664" s="14"/>
    </row>
    <row r="665" spans="2:2" ht="15.75" customHeight="1" x14ac:dyDescent="0.2">
      <c r="B665" s="14"/>
    </row>
    <row r="666" spans="2:2" ht="15.75" customHeight="1" x14ac:dyDescent="0.2">
      <c r="B666" s="14"/>
    </row>
    <row r="667" spans="2:2" ht="15.75" customHeight="1" x14ac:dyDescent="0.2">
      <c r="B667" s="14"/>
    </row>
    <row r="668" spans="2:2" ht="15.75" customHeight="1" x14ac:dyDescent="0.2">
      <c r="B668" s="14"/>
    </row>
    <row r="669" spans="2:2" ht="15.75" customHeight="1" x14ac:dyDescent="0.2">
      <c r="B669" s="14"/>
    </row>
    <row r="670" spans="2:2" ht="15.75" customHeight="1" x14ac:dyDescent="0.2">
      <c r="B670" s="14"/>
    </row>
    <row r="671" spans="2:2" ht="15.75" customHeight="1" x14ac:dyDescent="0.2">
      <c r="B671" s="14"/>
    </row>
    <row r="672" spans="2:2" ht="15.75" customHeight="1" x14ac:dyDescent="0.2">
      <c r="B672" s="14"/>
    </row>
    <row r="673" spans="2:2" ht="15.75" customHeight="1" x14ac:dyDescent="0.2">
      <c r="B673" s="14"/>
    </row>
    <row r="674" spans="2:2" ht="15.75" customHeight="1" x14ac:dyDescent="0.2">
      <c r="B674" s="14"/>
    </row>
    <row r="675" spans="2:2" ht="15.75" customHeight="1" x14ac:dyDescent="0.2">
      <c r="B675" s="14"/>
    </row>
    <row r="676" spans="2:2" ht="15.75" customHeight="1" x14ac:dyDescent="0.2">
      <c r="B676" s="14"/>
    </row>
    <row r="677" spans="2:2" ht="15.75" customHeight="1" x14ac:dyDescent="0.2">
      <c r="B677" s="14"/>
    </row>
    <row r="678" spans="2:2" ht="15.75" customHeight="1" x14ac:dyDescent="0.2">
      <c r="B678" s="14"/>
    </row>
    <row r="679" spans="2:2" ht="15.75" customHeight="1" x14ac:dyDescent="0.2">
      <c r="B679" s="14"/>
    </row>
    <row r="680" spans="2:2" ht="15.75" customHeight="1" x14ac:dyDescent="0.2">
      <c r="B680" s="14"/>
    </row>
    <row r="681" spans="2:2" ht="15.75" customHeight="1" x14ac:dyDescent="0.2">
      <c r="B681" s="14"/>
    </row>
    <row r="682" spans="2:2" ht="15.75" customHeight="1" x14ac:dyDescent="0.2">
      <c r="B682" s="14"/>
    </row>
    <row r="683" spans="2:2" ht="15.75" customHeight="1" x14ac:dyDescent="0.2">
      <c r="B683" s="14"/>
    </row>
    <row r="684" spans="2:2" ht="15.75" customHeight="1" x14ac:dyDescent="0.2">
      <c r="B684" s="14"/>
    </row>
    <row r="685" spans="2:2" ht="15.75" customHeight="1" x14ac:dyDescent="0.2">
      <c r="B685" s="14"/>
    </row>
    <row r="686" spans="2:2" ht="15.75" customHeight="1" x14ac:dyDescent="0.2">
      <c r="B686" s="14"/>
    </row>
    <row r="687" spans="2:2" ht="15.75" customHeight="1" x14ac:dyDescent="0.2">
      <c r="B687" s="14"/>
    </row>
    <row r="688" spans="2:2" ht="15.75" customHeight="1" x14ac:dyDescent="0.2">
      <c r="B688" s="14"/>
    </row>
    <row r="689" spans="2:2" ht="15.75" customHeight="1" x14ac:dyDescent="0.2">
      <c r="B689" s="14"/>
    </row>
    <row r="690" spans="2:2" ht="15.75" customHeight="1" x14ac:dyDescent="0.2">
      <c r="B690" s="14"/>
    </row>
    <row r="691" spans="2:2" ht="15.75" customHeight="1" x14ac:dyDescent="0.2">
      <c r="B691" s="14"/>
    </row>
    <row r="692" spans="2:2" ht="15.75" customHeight="1" x14ac:dyDescent="0.2">
      <c r="B692" s="14"/>
    </row>
    <row r="693" spans="2:2" ht="15.75" customHeight="1" x14ac:dyDescent="0.2">
      <c r="B693" s="14"/>
    </row>
    <row r="694" spans="2:2" ht="15.75" customHeight="1" x14ac:dyDescent="0.2">
      <c r="B694" s="14"/>
    </row>
    <row r="695" spans="2:2" ht="15.75" customHeight="1" x14ac:dyDescent="0.2">
      <c r="B695" s="14"/>
    </row>
    <row r="696" spans="2:2" ht="15.75" customHeight="1" x14ac:dyDescent="0.2">
      <c r="B696" s="14"/>
    </row>
    <row r="697" spans="2:2" ht="15.75" customHeight="1" x14ac:dyDescent="0.2">
      <c r="B697" s="14"/>
    </row>
    <row r="698" spans="2:2" ht="15.75" customHeight="1" x14ac:dyDescent="0.2">
      <c r="B698" s="14"/>
    </row>
    <row r="699" spans="2:2" ht="15.75" customHeight="1" x14ac:dyDescent="0.2">
      <c r="B699" s="14"/>
    </row>
    <row r="700" spans="2:2" ht="15.75" customHeight="1" x14ac:dyDescent="0.2">
      <c r="B700" s="14"/>
    </row>
    <row r="701" spans="2:2" ht="15.75" customHeight="1" x14ac:dyDescent="0.2">
      <c r="B701" s="14"/>
    </row>
    <row r="702" spans="2:2" ht="15.75" customHeight="1" x14ac:dyDescent="0.2">
      <c r="B702" s="14"/>
    </row>
    <row r="703" spans="2:2" ht="15.75" customHeight="1" x14ac:dyDescent="0.2">
      <c r="B703" s="14"/>
    </row>
    <row r="704" spans="2:2" ht="15.75" customHeight="1" x14ac:dyDescent="0.2">
      <c r="B704" s="14"/>
    </row>
    <row r="705" spans="2:2" ht="15.75" customHeight="1" x14ac:dyDescent="0.2">
      <c r="B705" s="14"/>
    </row>
    <row r="706" spans="2:2" ht="15.75" customHeight="1" x14ac:dyDescent="0.2">
      <c r="B706" s="14"/>
    </row>
    <row r="707" spans="2:2" ht="15.75" customHeight="1" x14ac:dyDescent="0.2">
      <c r="B707" s="14"/>
    </row>
    <row r="708" spans="2:2" ht="15.75" customHeight="1" x14ac:dyDescent="0.2">
      <c r="B708" s="14"/>
    </row>
    <row r="709" spans="2:2" ht="15.75" customHeight="1" x14ac:dyDescent="0.2">
      <c r="B709" s="14"/>
    </row>
    <row r="710" spans="2:2" ht="15.75" customHeight="1" x14ac:dyDescent="0.2">
      <c r="B710" s="14"/>
    </row>
    <row r="711" spans="2:2" ht="15.75" customHeight="1" x14ac:dyDescent="0.2">
      <c r="B711" s="14"/>
    </row>
    <row r="712" spans="2:2" ht="15.75" customHeight="1" x14ac:dyDescent="0.2">
      <c r="B712" s="14"/>
    </row>
    <row r="713" spans="2:2" ht="15.75" customHeight="1" x14ac:dyDescent="0.2">
      <c r="B713" s="14"/>
    </row>
    <row r="714" spans="2:2" ht="15.75" customHeight="1" x14ac:dyDescent="0.2">
      <c r="B714" s="14"/>
    </row>
    <row r="715" spans="2:2" ht="15.75" customHeight="1" x14ac:dyDescent="0.2">
      <c r="B715" s="14"/>
    </row>
    <row r="716" spans="2:2" ht="15.75" customHeight="1" x14ac:dyDescent="0.2">
      <c r="B716" s="14"/>
    </row>
    <row r="717" spans="2:2" ht="15.75" customHeight="1" x14ac:dyDescent="0.2">
      <c r="B717" s="14"/>
    </row>
    <row r="718" spans="2:2" ht="15.75" customHeight="1" x14ac:dyDescent="0.2">
      <c r="B718" s="14"/>
    </row>
    <row r="719" spans="2:2" ht="15.75" customHeight="1" x14ac:dyDescent="0.2">
      <c r="B719" s="14"/>
    </row>
    <row r="720" spans="2:2" ht="15.75" customHeight="1" x14ac:dyDescent="0.2">
      <c r="B720" s="14"/>
    </row>
    <row r="721" spans="2:2" ht="15.75" customHeight="1" x14ac:dyDescent="0.2">
      <c r="B721" s="14"/>
    </row>
    <row r="722" spans="2:2" ht="15.75" customHeight="1" x14ac:dyDescent="0.2">
      <c r="B722" s="14"/>
    </row>
    <row r="723" spans="2:2" ht="15.75" customHeight="1" x14ac:dyDescent="0.2">
      <c r="B723" s="14"/>
    </row>
    <row r="724" spans="2:2" ht="15.75" customHeight="1" x14ac:dyDescent="0.2">
      <c r="B724" s="14"/>
    </row>
    <row r="725" spans="2:2" ht="15.75" customHeight="1" x14ac:dyDescent="0.2">
      <c r="B725" s="14"/>
    </row>
    <row r="726" spans="2:2" ht="15.75" customHeight="1" x14ac:dyDescent="0.2">
      <c r="B726" s="14"/>
    </row>
    <row r="727" spans="2:2" ht="15.75" customHeight="1" x14ac:dyDescent="0.2">
      <c r="B727" s="14"/>
    </row>
    <row r="728" spans="2:2" ht="15.75" customHeight="1" x14ac:dyDescent="0.2">
      <c r="B728" s="14"/>
    </row>
    <row r="729" spans="2:2" ht="15.75" customHeight="1" x14ac:dyDescent="0.2">
      <c r="B729" s="14"/>
    </row>
    <row r="730" spans="2:2" ht="15.75" customHeight="1" x14ac:dyDescent="0.2">
      <c r="B730" s="14"/>
    </row>
    <row r="731" spans="2:2" ht="15.75" customHeight="1" x14ac:dyDescent="0.2">
      <c r="B731" s="14"/>
    </row>
    <row r="732" spans="2:2" ht="15.75" customHeight="1" x14ac:dyDescent="0.2">
      <c r="B732" s="14"/>
    </row>
    <row r="733" spans="2:2" ht="15.75" customHeight="1" x14ac:dyDescent="0.2">
      <c r="B733" s="14"/>
    </row>
    <row r="734" spans="2:2" ht="15.75" customHeight="1" x14ac:dyDescent="0.2">
      <c r="B734" s="14"/>
    </row>
    <row r="735" spans="2:2" ht="15.75" customHeight="1" x14ac:dyDescent="0.2">
      <c r="B735" s="14"/>
    </row>
    <row r="736" spans="2:2" ht="15.75" customHeight="1" x14ac:dyDescent="0.2">
      <c r="B736" s="14"/>
    </row>
    <row r="737" spans="2:2" ht="15.75" customHeight="1" x14ac:dyDescent="0.2">
      <c r="B737" s="14"/>
    </row>
    <row r="738" spans="2:2" ht="15.75" customHeight="1" x14ac:dyDescent="0.2">
      <c r="B738" s="14"/>
    </row>
    <row r="739" spans="2:2" ht="15.75" customHeight="1" x14ac:dyDescent="0.2">
      <c r="B739" s="14"/>
    </row>
    <row r="740" spans="2:2" ht="15.75" customHeight="1" x14ac:dyDescent="0.2">
      <c r="B740" s="14"/>
    </row>
    <row r="741" spans="2:2" ht="15.75" customHeight="1" x14ac:dyDescent="0.2">
      <c r="B741" s="14"/>
    </row>
    <row r="742" spans="2:2" ht="15.75" customHeight="1" x14ac:dyDescent="0.2">
      <c r="B742" s="14"/>
    </row>
    <row r="743" spans="2:2" ht="15.75" customHeight="1" x14ac:dyDescent="0.2">
      <c r="B743" s="14"/>
    </row>
    <row r="744" spans="2:2" ht="15.75" customHeight="1" x14ac:dyDescent="0.2">
      <c r="B744" s="14"/>
    </row>
    <row r="745" spans="2:2" ht="15.75" customHeight="1" x14ac:dyDescent="0.2">
      <c r="B745" s="14"/>
    </row>
    <row r="746" spans="2:2" ht="15.75" customHeight="1" x14ac:dyDescent="0.2">
      <c r="B746" s="14"/>
    </row>
    <row r="747" spans="2:2" ht="15.75" customHeight="1" x14ac:dyDescent="0.2">
      <c r="B747" s="14"/>
    </row>
    <row r="748" spans="2:2" ht="15.75" customHeight="1" x14ac:dyDescent="0.2">
      <c r="B748" s="14"/>
    </row>
    <row r="749" spans="2:2" ht="15.75" customHeight="1" x14ac:dyDescent="0.2">
      <c r="B749" s="14"/>
    </row>
    <row r="750" spans="2:2" ht="15.75" customHeight="1" x14ac:dyDescent="0.2">
      <c r="B750" s="14"/>
    </row>
    <row r="751" spans="2:2" ht="15.75" customHeight="1" x14ac:dyDescent="0.2">
      <c r="B751" s="14"/>
    </row>
    <row r="752" spans="2:2" ht="15.75" customHeight="1" x14ac:dyDescent="0.2">
      <c r="B752" s="14"/>
    </row>
    <row r="753" spans="2:2" ht="15.75" customHeight="1" x14ac:dyDescent="0.2">
      <c r="B753" s="14"/>
    </row>
    <row r="754" spans="2:2" ht="15.75" customHeight="1" x14ac:dyDescent="0.2">
      <c r="B754" s="14"/>
    </row>
    <row r="755" spans="2:2" ht="15.75" customHeight="1" x14ac:dyDescent="0.2">
      <c r="B755" s="14"/>
    </row>
    <row r="756" spans="2:2" ht="15.75" customHeight="1" x14ac:dyDescent="0.2">
      <c r="B756" s="14"/>
    </row>
    <row r="757" spans="2:2" ht="15.75" customHeight="1" x14ac:dyDescent="0.2">
      <c r="B757" s="14"/>
    </row>
    <row r="758" spans="2:2" ht="15.75" customHeight="1" x14ac:dyDescent="0.2">
      <c r="B758" s="14"/>
    </row>
    <row r="759" spans="2:2" ht="15.75" customHeight="1" x14ac:dyDescent="0.2">
      <c r="B759" s="14"/>
    </row>
    <row r="760" spans="2:2" ht="15.75" customHeight="1" x14ac:dyDescent="0.2">
      <c r="B760" s="14"/>
    </row>
    <row r="761" spans="2:2" ht="15.75" customHeight="1" x14ac:dyDescent="0.2">
      <c r="B761" s="14"/>
    </row>
    <row r="762" spans="2:2" ht="15.75" customHeight="1" x14ac:dyDescent="0.2">
      <c r="B762" s="14"/>
    </row>
    <row r="763" spans="2:2" ht="15.75" customHeight="1" x14ac:dyDescent="0.2">
      <c r="B763" s="14"/>
    </row>
    <row r="764" spans="2:2" ht="15.75" customHeight="1" x14ac:dyDescent="0.2">
      <c r="B764" s="14"/>
    </row>
    <row r="765" spans="2:2" ht="15.75" customHeight="1" x14ac:dyDescent="0.2">
      <c r="B765" s="14"/>
    </row>
    <row r="766" spans="2:2" ht="15.75" customHeight="1" x14ac:dyDescent="0.2">
      <c r="B766" s="14"/>
    </row>
    <row r="767" spans="2:2" ht="15.75" customHeight="1" x14ac:dyDescent="0.2">
      <c r="B767" s="14"/>
    </row>
    <row r="768" spans="2:2" ht="15.75" customHeight="1" x14ac:dyDescent="0.2">
      <c r="B768" s="14"/>
    </row>
    <row r="769" spans="2:2" ht="15.75" customHeight="1" x14ac:dyDescent="0.2">
      <c r="B769" s="14"/>
    </row>
    <row r="770" spans="2:2" ht="15.75" customHeight="1" x14ac:dyDescent="0.2">
      <c r="B770" s="14"/>
    </row>
    <row r="771" spans="2:2" ht="15.75" customHeight="1" x14ac:dyDescent="0.2">
      <c r="B771" s="14"/>
    </row>
    <row r="772" spans="2:2" ht="15.75" customHeight="1" x14ac:dyDescent="0.2">
      <c r="B772" s="14"/>
    </row>
    <row r="773" spans="2:2" ht="15.75" customHeight="1" x14ac:dyDescent="0.2">
      <c r="B773" s="14"/>
    </row>
    <row r="774" spans="2:2" ht="15.75" customHeight="1" x14ac:dyDescent="0.2">
      <c r="B774" s="14"/>
    </row>
    <row r="775" spans="2:2" ht="15.75" customHeight="1" x14ac:dyDescent="0.2">
      <c r="B775" s="14"/>
    </row>
    <row r="776" spans="2:2" ht="15.75" customHeight="1" x14ac:dyDescent="0.2">
      <c r="B776" s="14"/>
    </row>
    <row r="777" spans="2:2" ht="15.75" customHeight="1" x14ac:dyDescent="0.2">
      <c r="B777" s="14"/>
    </row>
    <row r="778" spans="2:2" ht="15.75" customHeight="1" x14ac:dyDescent="0.2">
      <c r="B778" s="14"/>
    </row>
    <row r="779" spans="2:2" ht="15.75" customHeight="1" x14ac:dyDescent="0.2">
      <c r="B779" s="14"/>
    </row>
    <row r="780" spans="2:2" ht="15.75" customHeight="1" x14ac:dyDescent="0.2">
      <c r="B780" s="14"/>
    </row>
    <row r="781" spans="2:2" ht="15.75" customHeight="1" x14ac:dyDescent="0.2">
      <c r="B781" s="14"/>
    </row>
    <row r="782" spans="2:2" ht="15.75" customHeight="1" x14ac:dyDescent="0.2">
      <c r="B782" s="14"/>
    </row>
    <row r="783" spans="2:2" ht="15.75" customHeight="1" x14ac:dyDescent="0.2">
      <c r="B783" s="14"/>
    </row>
    <row r="784" spans="2:2" ht="15.75" customHeight="1" x14ac:dyDescent="0.2">
      <c r="B784" s="14"/>
    </row>
    <row r="785" spans="2:2" ht="15.75" customHeight="1" x14ac:dyDescent="0.2">
      <c r="B785" s="14"/>
    </row>
    <row r="786" spans="2:2" ht="15.75" customHeight="1" x14ac:dyDescent="0.2">
      <c r="B786" s="14"/>
    </row>
    <row r="787" spans="2:2" ht="15.75" customHeight="1" x14ac:dyDescent="0.2">
      <c r="B787" s="14"/>
    </row>
    <row r="788" spans="2:2" ht="15.75" customHeight="1" x14ac:dyDescent="0.2">
      <c r="B788" s="14"/>
    </row>
    <row r="789" spans="2:2" ht="15.75" customHeight="1" x14ac:dyDescent="0.2">
      <c r="B789" s="14"/>
    </row>
    <row r="790" spans="2:2" ht="15.75" customHeight="1" x14ac:dyDescent="0.2">
      <c r="B790" s="14"/>
    </row>
    <row r="791" spans="2:2" ht="15.75" customHeight="1" x14ac:dyDescent="0.2">
      <c r="B791" s="14"/>
    </row>
    <row r="792" spans="2:2" ht="15.75" customHeight="1" x14ac:dyDescent="0.2">
      <c r="B792" s="14"/>
    </row>
    <row r="793" spans="2:2" ht="15.75" customHeight="1" x14ac:dyDescent="0.2">
      <c r="B793" s="14"/>
    </row>
    <row r="794" spans="2:2" ht="15.75" customHeight="1" x14ac:dyDescent="0.2">
      <c r="B794" s="14"/>
    </row>
    <row r="795" spans="2:2" ht="15.75" customHeight="1" x14ac:dyDescent="0.2">
      <c r="B795" s="14"/>
    </row>
    <row r="796" spans="2:2" ht="15.75" customHeight="1" x14ac:dyDescent="0.2">
      <c r="B796" s="14"/>
    </row>
    <row r="797" spans="2:2" ht="15.75" customHeight="1" x14ac:dyDescent="0.2">
      <c r="B797" s="14"/>
    </row>
    <row r="798" spans="2:2" ht="15.75" customHeight="1" x14ac:dyDescent="0.2">
      <c r="B798" s="14"/>
    </row>
    <row r="799" spans="2:2" ht="15.75" customHeight="1" x14ac:dyDescent="0.2">
      <c r="B799" s="14"/>
    </row>
    <row r="800" spans="2:2" ht="15.75" customHeight="1" x14ac:dyDescent="0.2">
      <c r="B800" s="14"/>
    </row>
    <row r="801" spans="2:2" ht="15.75" customHeight="1" x14ac:dyDescent="0.2">
      <c r="B801" s="14"/>
    </row>
    <row r="802" spans="2:2" ht="15.75" customHeight="1" x14ac:dyDescent="0.2">
      <c r="B802" s="14"/>
    </row>
    <row r="803" spans="2:2" ht="15.75" customHeight="1" x14ac:dyDescent="0.2">
      <c r="B803" s="14"/>
    </row>
    <row r="804" spans="2:2" ht="15.75" customHeight="1" x14ac:dyDescent="0.2">
      <c r="B804" s="14"/>
    </row>
    <row r="805" spans="2:2" ht="15.75" customHeight="1" x14ac:dyDescent="0.2">
      <c r="B805" s="14"/>
    </row>
    <row r="806" spans="2:2" ht="15.75" customHeight="1" x14ac:dyDescent="0.2">
      <c r="B806" s="14"/>
    </row>
    <row r="807" spans="2:2" ht="15.75" customHeight="1" x14ac:dyDescent="0.2">
      <c r="B807" s="14"/>
    </row>
    <row r="808" spans="2:2" ht="15.75" customHeight="1" x14ac:dyDescent="0.2">
      <c r="B808" s="14"/>
    </row>
    <row r="809" spans="2:2" ht="15.75" customHeight="1" x14ac:dyDescent="0.2">
      <c r="B809" s="14"/>
    </row>
    <row r="810" spans="2:2" ht="15.75" customHeight="1" x14ac:dyDescent="0.2">
      <c r="B810" s="14"/>
    </row>
    <row r="811" spans="2:2" ht="15.75" customHeight="1" x14ac:dyDescent="0.2">
      <c r="B811" s="14"/>
    </row>
    <row r="812" spans="2:2" ht="15.75" customHeight="1" x14ac:dyDescent="0.2">
      <c r="B812" s="14"/>
    </row>
    <row r="813" spans="2:2" ht="15.75" customHeight="1" x14ac:dyDescent="0.2">
      <c r="B813" s="14"/>
    </row>
    <row r="814" spans="2:2" ht="15.75" customHeight="1" x14ac:dyDescent="0.2">
      <c r="B814" s="14"/>
    </row>
    <row r="815" spans="2:2" ht="15.75" customHeight="1" x14ac:dyDescent="0.2">
      <c r="B815" s="14"/>
    </row>
    <row r="816" spans="2:2" ht="15.75" customHeight="1" x14ac:dyDescent="0.2">
      <c r="B816" s="14"/>
    </row>
    <row r="817" spans="2:2" ht="15.75" customHeight="1" x14ac:dyDescent="0.2">
      <c r="B817" s="14"/>
    </row>
    <row r="818" spans="2:2" ht="15.75" customHeight="1" x14ac:dyDescent="0.2">
      <c r="B818" s="14"/>
    </row>
    <row r="819" spans="2:2" ht="15.75" customHeight="1" x14ac:dyDescent="0.2">
      <c r="B819" s="14"/>
    </row>
    <row r="820" spans="2:2" ht="15.75" customHeight="1" x14ac:dyDescent="0.2">
      <c r="B820" s="14"/>
    </row>
    <row r="821" spans="2:2" ht="15.75" customHeight="1" x14ac:dyDescent="0.2">
      <c r="B821" s="14"/>
    </row>
    <row r="822" spans="2:2" ht="15.75" customHeight="1" x14ac:dyDescent="0.2">
      <c r="B822" s="14"/>
    </row>
    <row r="823" spans="2:2" ht="15.75" customHeight="1" x14ac:dyDescent="0.2">
      <c r="B823" s="14"/>
    </row>
    <row r="824" spans="2:2" ht="15.75" customHeight="1" x14ac:dyDescent="0.2">
      <c r="B824" s="14"/>
    </row>
    <row r="825" spans="2:2" ht="15.75" customHeight="1" x14ac:dyDescent="0.2">
      <c r="B825" s="14"/>
    </row>
    <row r="826" spans="2:2" ht="15.75" customHeight="1" x14ac:dyDescent="0.2">
      <c r="B826" s="14"/>
    </row>
    <row r="827" spans="2:2" ht="15.75" customHeight="1" x14ac:dyDescent="0.2">
      <c r="B827" s="14"/>
    </row>
    <row r="828" spans="2:2" ht="15.75" customHeight="1" x14ac:dyDescent="0.2">
      <c r="B828" s="14"/>
    </row>
    <row r="829" spans="2:2" ht="15.75" customHeight="1" x14ac:dyDescent="0.2">
      <c r="B829" s="14"/>
    </row>
    <row r="830" spans="2:2" ht="15.75" customHeight="1" x14ac:dyDescent="0.2">
      <c r="B830" s="14"/>
    </row>
    <row r="831" spans="2:2" ht="15.75" customHeight="1" x14ac:dyDescent="0.2">
      <c r="B831" s="14"/>
    </row>
    <row r="832" spans="2:2" ht="15.75" customHeight="1" x14ac:dyDescent="0.2">
      <c r="B832" s="14"/>
    </row>
    <row r="833" spans="2:2" ht="15.75" customHeight="1" x14ac:dyDescent="0.2">
      <c r="B833" s="14"/>
    </row>
    <row r="834" spans="2:2" ht="15.75" customHeight="1" x14ac:dyDescent="0.2">
      <c r="B834" s="14"/>
    </row>
    <row r="835" spans="2:2" ht="15.75" customHeight="1" x14ac:dyDescent="0.2">
      <c r="B835" s="14"/>
    </row>
    <row r="836" spans="2:2" ht="15.75" customHeight="1" x14ac:dyDescent="0.2">
      <c r="B836" s="14"/>
    </row>
    <row r="837" spans="2:2" ht="15.75" customHeight="1" x14ac:dyDescent="0.2">
      <c r="B837" s="14"/>
    </row>
    <row r="838" spans="2:2" ht="15.75" customHeight="1" x14ac:dyDescent="0.2">
      <c r="B838" s="14"/>
    </row>
    <row r="839" spans="2:2" ht="15.75" customHeight="1" x14ac:dyDescent="0.2">
      <c r="B839" s="14"/>
    </row>
    <row r="840" spans="2:2" ht="15.75" customHeight="1" x14ac:dyDescent="0.2">
      <c r="B840" s="14"/>
    </row>
    <row r="841" spans="2:2" ht="15.75" customHeight="1" x14ac:dyDescent="0.2">
      <c r="B841" s="14"/>
    </row>
    <row r="842" spans="2:2" ht="15.75" customHeight="1" x14ac:dyDescent="0.2">
      <c r="B842" s="14"/>
    </row>
    <row r="843" spans="2:2" ht="15.75" customHeight="1" x14ac:dyDescent="0.2">
      <c r="B843" s="14"/>
    </row>
    <row r="844" spans="2:2" ht="15.75" customHeight="1" x14ac:dyDescent="0.2">
      <c r="B844" s="14"/>
    </row>
    <row r="845" spans="2:2" ht="15.75" customHeight="1" x14ac:dyDescent="0.2">
      <c r="B845" s="14"/>
    </row>
    <row r="846" spans="2:2" ht="15.75" customHeight="1" x14ac:dyDescent="0.2">
      <c r="B846" s="14"/>
    </row>
    <row r="847" spans="2:2" ht="15.75" customHeight="1" x14ac:dyDescent="0.2">
      <c r="B847" s="14"/>
    </row>
    <row r="848" spans="2:2" ht="15.75" customHeight="1" x14ac:dyDescent="0.2">
      <c r="B848" s="14"/>
    </row>
    <row r="849" spans="2:2" ht="15.75" customHeight="1" x14ac:dyDescent="0.2">
      <c r="B849" s="14"/>
    </row>
    <row r="850" spans="2:2" ht="15.75" customHeight="1" x14ac:dyDescent="0.2">
      <c r="B850" s="14"/>
    </row>
    <row r="851" spans="2:2" ht="15.75" customHeight="1" x14ac:dyDescent="0.2">
      <c r="B851" s="14"/>
    </row>
    <row r="852" spans="2:2" ht="15.75" customHeight="1" x14ac:dyDescent="0.2">
      <c r="B852" s="14"/>
    </row>
    <row r="853" spans="2:2" ht="15.75" customHeight="1" x14ac:dyDescent="0.2">
      <c r="B853" s="14"/>
    </row>
    <row r="854" spans="2:2" ht="15.75" customHeight="1" x14ac:dyDescent="0.2">
      <c r="B854" s="14"/>
    </row>
    <row r="855" spans="2:2" ht="15.75" customHeight="1" x14ac:dyDescent="0.2">
      <c r="B855" s="14"/>
    </row>
    <row r="856" spans="2:2" ht="15.75" customHeight="1" x14ac:dyDescent="0.2">
      <c r="B856" s="14"/>
    </row>
    <row r="857" spans="2:2" ht="15.75" customHeight="1" x14ac:dyDescent="0.2">
      <c r="B857" s="14"/>
    </row>
    <row r="858" spans="2:2" ht="15.75" customHeight="1" x14ac:dyDescent="0.2">
      <c r="B858" s="14"/>
    </row>
    <row r="859" spans="2:2" ht="15.75" customHeight="1" x14ac:dyDescent="0.2">
      <c r="B859" s="14"/>
    </row>
    <row r="860" spans="2:2" ht="15.75" customHeight="1" x14ac:dyDescent="0.2">
      <c r="B860" s="14"/>
    </row>
    <row r="861" spans="2:2" ht="15.75" customHeight="1" x14ac:dyDescent="0.2">
      <c r="B861" s="14"/>
    </row>
    <row r="862" spans="2:2" ht="15.75" customHeight="1" x14ac:dyDescent="0.2">
      <c r="B862" s="14"/>
    </row>
    <row r="863" spans="2:2" ht="15.75" customHeight="1" x14ac:dyDescent="0.2">
      <c r="B863" s="14"/>
    </row>
    <row r="864" spans="2:2" ht="15.75" customHeight="1" x14ac:dyDescent="0.2">
      <c r="B864" s="14"/>
    </row>
    <row r="865" spans="2:2" ht="15.75" customHeight="1" x14ac:dyDescent="0.2">
      <c r="B865" s="14"/>
    </row>
    <row r="866" spans="2:2" ht="15.75" customHeight="1" x14ac:dyDescent="0.2">
      <c r="B866" s="14"/>
    </row>
    <row r="867" spans="2:2" ht="15.75" customHeight="1" x14ac:dyDescent="0.2">
      <c r="B867" s="14"/>
    </row>
    <row r="868" spans="2:2" ht="15.75" customHeight="1" x14ac:dyDescent="0.2">
      <c r="B868" s="14"/>
    </row>
    <row r="869" spans="2:2" ht="15.75" customHeight="1" x14ac:dyDescent="0.2">
      <c r="B869" s="14"/>
    </row>
    <row r="870" spans="2:2" ht="15.75" customHeight="1" x14ac:dyDescent="0.2">
      <c r="B870" s="14"/>
    </row>
    <row r="871" spans="2:2" ht="15.75" customHeight="1" x14ac:dyDescent="0.2">
      <c r="B871" s="14"/>
    </row>
    <row r="872" spans="2:2" ht="15.75" customHeight="1" x14ac:dyDescent="0.2">
      <c r="B872" s="14"/>
    </row>
    <row r="873" spans="2:2" ht="15.75" customHeight="1" x14ac:dyDescent="0.2">
      <c r="B873" s="14"/>
    </row>
    <row r="874" spans="2:2" ht="15.75" customHeight="1" x14ac:dyDescent="0.2">
      <c r="B874" s="14"/>
    </row>
    <row r="875" spans="2:2" ht="15.75" customHeight="1" x14ac:dyDescent="0.2">
      <c r="B875" s="14"/>
    </row>
    <row r="876" spans="2:2" ht="15.75" customHeight="1" x14ac:dyDescent="0.2">
      <c r="B876" s="14"/>
    </row>
    <row r="877" spans="2:2" ht="15.75" customHeight="1" x14ac:dyDescent="0.2">
      <c r="B877" s="14"/>
    </row>
    <row r="878" spans="2:2" ht="15.75" customHeight="1" x14ac:dyDescent="0.2">
      <c r="B878" s="14"/>
    </row>
    <row r="879" spans="2:2" ht="15.75" customHeight="1" x14ac:dyDescent="0.2">
      <c r="B879" s="14"/>
    </row>
    <row r="880" spans="2:2" ht="15.75" customHeight="1" x14ac:dyDescent="0.2">
      <c r="B880" s="14"/>
    </row>
    <row r="881" spans="2:2" ht="15.75" customHeight="1" x14ac:dyDescent="0.2">
      <c r="B881" s="14"/>
    </row>
    <row r="882" spans="2:2" ht="15.75" customHeight="1" x14ac:dyDescent="0.2">
      <c r="B882" s="14"/>
    </row>
    <row r="883" spans="2:2" ht="15.75" customHeight="1" x14ac:dyDescent="0.2">
      <c r="B883" s="14"/>
    </row>
    <row r="884" spans="2:2" ht="15.75" customHeight="1" x14ac:dyDescent="0.2">
      <c r="B884" s="14"/>
    </row>
    <row r="885" spans="2:2" ht="15.75" customHeight="1" x14ac:dyDescent="0.2">
      <c r="B885" s="14"/>
    </row>
    <row r="886" spans="2:2" ht="15.75" customHeight="1" x14ac:dyDescent="0.2">
      <c r="B886" s="14"/>
    </row>
    <row r="887" spans="2:2" ht="15.75" customHeight="1" x14ac:dyDescent="0.2">
      <c r="B887" s="14"/>
    </row>
    <row r="888" spans="2:2" ht="15.75" customHeight="1" x14ac:dyDescent="0.2">
      <c r="B888" s="14"/>
    </row>
    <row r="889" spans="2:2" ht="15.75" customHeight="1" x14ac:dyDescent="0.2">
      <c r="B889" s="14"/>
    </row>
    <row r="890" spans="2:2" ht="15.75" customHeight="1" x14ac:dyDescent="0.2">
      <c r="B890" s="14"/>
    </row>
    <row r="891" spans="2:2" ht="15.75" customHeight="1" x14ac:dyDescent="0.2">
      <c r="B891" s="14"/>
    </row>
    <row r="892" spans="2:2" ht="15.75" customHeight="1" x14ac:dyDescent="0.2">
      <c r="B892" s="14"/>
    </row>
    <row r="893" spans="2:2" ht="15.75" customHeight="1" x14ac:dyDescent="0.2">
      <c r="B893" s="14"/>
    </row>
    <row r="894" spans="2:2" ht="15.75" customHeight="1" x14ac:dyDescent="0.2">
      <c r="B894" s="14"/>
    </row>
    <row r="895" spans="2:2" ht="15.75" customHeight="1" x14ac:dyDescent="0.2">
      <c r="B895" s="14"/>
    </row>
    <row r="896" spans="2:2" ht="15.75" customHeight="1" x14ac:dyDescent="0.2">
      <c r="B896" s="14"/>
    </row>
    <row r="897" spans="2:2" ht="15.75" customHeight="1" x14ac:dyDescent="0.2">
      <c r="B897" s="14"/>
    </row>
    <row r="898" spans="2:2" ht="15.75" customHeight="1" x14ac:dyDescent="0.2">
      <c r="B898" s="14"/>
    </row>
    <row r="899" spans="2:2" ht="15.75" customHeight="1" x14ac:dyDescent="0.2">
      <c r="B899" s="14"/>
    </row>
    <row r="900" spans="2:2" ht="15.75" customHeight="1" x14ac:dyDescent="0.2">
      <c r="B900" s="14"/>
    </row>
    <row r="901" spans="2:2" ht="15.75" customHeight="1" x14ac:dyDescent="0.2">
      <c r="B901" s="14"/>
    </row>
    <row r="902" spans="2:2" ht="15.75" customHeight="1" x14ac:dyDescent="0.2">
      <c r="B902" s="14"/>
    </row>
    <row r="903" spans="2:2" ht="15.75" customHeight="1" x14ac:dyDescent="0.2">
      <c r="B903" s="14"/>
    </row>
    <row r="904" spans="2:2" ht="15.75" customHeight="1" x14ac:dyDescent="0.2">
      <c r="B904" s="14"/>
    </row>
    <row r="905" spans="2:2" ht="15.75" customHeight="1" x14ac:dyDescent="0.2">
      <c r="B905" s="14"/>
    </row>
    <row r="906" spans="2:2" ht="15.75" customHeight="1" x14ac:dyDescent="0.2">
      <c r="B906" s="14"/>
    </row>
    <row r="907" spans="2:2" ht="15.75" customHeight="1" x14ac:dyDescent="0.2">
      <c r="B907" s="14"/>
    </row>
    <row r="908" spans="2:2" ht="15.75" customHeight="1" x14ac:dyDescent="0.2">
      <c r="B908" s="14"/>
    </row>
    <row r="909" spans="2:2" ht="15.75" customHeight="1" x14ac:dyDescent="0.2">
      <c r="B909" s="14"/>
    </row>
    <row r="910" spans="2:2" ht="15.75" customHeight="1" x14ac:dyDescent="0.2">
      <c r="B910" s="14"/>
    </row>
    <row r="911" spans="2:2" ht="15.75" customHeight="1" x14ac:dyDescent="0.2">
      <c r="B911" s="14"/>
    </row>
    <row r="912" spans="2:2" ht="15.75" customHeight="1" x14ac:dyDescent="0.2">
      <c r="B912" s="14"/>
    </row>
    <row r="913" spans="2:2" ht="15.75" customHeight="1" x14ac:dyDescent="0.2">
      <c r="B913" s="14"/>
    </row>
    <row r="914" spans="2:2" ht="15.75" customHeight="1" x14ac:dyDescent="0.2">
      <c r="B914" s="14"/>
    </row>
    <row r="915" spans="2:2" ht="15.75" customHeight="1" x14ac:dyDescent="0.2">
      <c r="B915" s="14"/>
    </row>
    <row r="916" spans="2:2" ht="15.75" customHeight="1" x14ac:dyDescent="0.2">
      <c r="B916" s="14"/>
    </row>
    <row r="917" spans="2:2" ht="15.75" customHeight="1" x14ac:dyDescent="0.2">
      <c r="B917" s="14"/>
    </row>
    <row r="918" spans="2:2" ht="15.75" customHeight="1" x14ac:dyDescent="0.2">
      <c r="B918" s="14"/>
    </row>
    <row r="919" spans="2:2" ht="15.75" customHeight="1" x14ac:dyDescent="0.2">
      <c r="B919" s="14"/>
    </row>
    <row r="920" spans="2:2" ht="15.75" customHeight="1" x14ac:dyDescent="0.2">
      <c r="B920" s="14"/>
    </row>
    <row r="921" spans="2:2" ht="15.75" customHeight="1" x14ac:dyDescent="0.2">
      <c r="B921" s="14"/>
    </row>
    <row r="922" spans="2:2" ht="15.75" customHeight="1" x14ac:dyDescent="0.2">
      <c r="B922" s="14"/>
    </row>
    <row r="923" spans="2:2" ht="15.75" customHeight="1" x14ac:dyDescent="0.2">
      <c r="B923" s="14"/>
    </row>
    <row r="924" spans="2:2" ht="15.75" customHeight="1" x14ac:dyDescent="0.2">
      <c r="B924" s="14"/>
    </row>
    <row r="925" spans="2:2" ht="15.75" customHeight="1" x14ac:dyDescent="0.2">
      <c r="B925" s="14"/>
    </row>
    <row r="926" spans="2:2" ht="15.75" customHeight="1" x14ac:dyDescent="0.2">
      <c r="B926" s="14"/>
    </row>
    <row r="927" spans="2:2" ht="15.75" customHeight="1" x14ac:dyDescent="0.2">
      <c r="B927" s="14"/>
    </row>
    <row r="928" spans="2:2" ht="15.75" customHeight="1" x14ac:dyDescent="0.2">
      <c r="B928" s="14"/>
    </row>
    <row r="929" spans="2:2" ht="15.75" customHeight="1" x14ac:dyDescent="0.2">
      <c r="B929" s="14"/>
    </row>
    <row r="930" spans="2:2" ht="15.75" customHeight="1" x14ac:dyDescent="0.2">
      <c r="B930" s="14"/>
    </row>
    <row r="931" spans="2:2" ht="15.75" customHeight="1" x14ac:dyDescent="0.2">
      <c r="B931" s="14"/>
    </row>
    <row r="932" spans="2:2" ht="15.75" customHeight="1" x14ac:dyDescent="0.2">
      <c r="B932" s="14"/>
    </row>
    <row r="933" spans="2:2" ht="15.75" customHeight="1" x14ac:dyDescent="0.2">
      <c r="B933" s="14"/>
    </row>
    <row r="934" spans="2:2" ht="15.75" customHeight="1" x14ac:dyDescent="0.2">
      <c r="B934" s="14"/>
    </row>
    <row r="935" spans="2:2" ht="15.75" customHeight="1" x14ac:dyDescent="0.2">
      <c r="B935" s="14"/>
    </row>
    <row r="936" spans="2:2" ht="15.75" customHeight="1" x14ac:dyDescent="0.2">
      <c r="B936" s="14"/>
    </row>
    <row r="937" spans="2:2" ht="15.75" customHeight="1" x14ac:dyDescent="0.2">
      <c r="B937" s="14"/>
    </row>
    <row r="938" spans="2:2" ht="15.75" customHeight="1" x14ac:dyDescent="0.2">
      <c r="B938" s="14"/>
    </row>
    <row r="939" spans="2:2" ht="15.75" customHeight="1" x14ac:dyDescent="0.2">
      <c r="B939" s="14"/>
    </row>
    <row r="940" spans="2:2" ht="15.75" customHeight="1" x14ac:dyDescent="0.2">
      <c r="B940" s="14"/>
    </row>
    <row r="941" spans="2:2" ht="15.75" customHeight="1" x14ac:dyDescent="0.2">
      <c r="B941" s="14"/>
    </row>
    <row r="942" spans="2:2" ht="15.75" customHeight="1" x14ac:dyDescent="0.2">
      <c r="B942" s="14"/>
    </row>
    <row r="943" spans="2:2" ht="15.75" customHeight="1" x14ac:dyDescent="0.2">
      <c r="B943" s="14"/>
    </row>
    <row r="944" spans="2:2" ht="15.75" customHeight="1" x14ac:dyDescent="0.2">
      <c r="B944" s="14"/>
    </row>
    <row r="945" spans="2:2" ht="15.75" customHeight="1" x14ac:dyDescent="0.2">
      <c r="B945" s="14"/>
    </row>
    <row r="946" spans="2:2" ht="15.75" customHeight="1" x14ac:dyDescent="0.2">
      <c r="B946" s="14"/>
    </row>
    <row r="947" spans="2:2" ht="15.75" customHeight="1" x14ac:dyDescent="0.2">
      <c r="B947" s="14"/>
    </row>
    <row r="948" spans="2:2" ht="15.75" customHeight="1" x14ac:dyDescent="0.2">
      <c r="B948" s="14"/>
    </row>
    <row r="949" spans="2:2" ht="15.75" customHeight="1" x14ac:dyDescent="0.2">
      <c r="B949" s="14"/>
    </row>
    <row r="950" spans="2:2" ht="15.75" customHeight="1" x14ac:dyDescent="0.2">
      <c r="B950" s="14"/>
    </row>
    <row r="951" spans="2:2" ht="15.75" customHeight="1" x14ac:dyDescent="0.2">
      <c r="B951" s="14"/>
    </row>
    <row r="952" spans="2:2" ht="15.75" customHeight="1" x14ac:dyDescent="0.2">
      <c r="B952" s="14"/>
    </row>
    <row r="953" spans="2:2" ht="15.75" customHeight="1" x14ac:dyDescent="0.2">
      <c r="B953" s="14"/>
    </row>
    <row r="954" spans="2:2" ht="15.75" customHeight="1" x14ac:dyDescent="0.2">
      <c r="B954" s="14"/>
    </row>
    <row r="955" spans="2:2" ht="15.75" customHeight="1" x14ac:dyDescent="0.2">
      <c r="B955" s="14"/>
    </row>
    <row r="956" spans="2:2" ht="15.75" customHeight="1" x14ac:dyDescent="0.2">
      <c r="B956" s="14"/>
    </row>
    <row r="957" spans="2:2" ht="15.75" customHeight="1" x14ac:dyDescent="0.2">
      <c r="B957" s="14"/>
    </row>
    <row r="958" spans="2:2" ht="15.75" customHeight="1" x14ac:dyDescent="0.2">
      <c r="B958" s="14"/>
    </row>
    <row r="959" spans="2:2" ht="15.75" customHeight="1" x14ac:dyDescent="0.2">
      <c r="B959" s="14"/>
    </row>
    <row r="960" spans="2:2" ht="15.75" customHeight="1" x14ac:dyDescent="0.2">
      <c r="B960" s="14"/>
    </row>
    <row r="961" spans="2:2" ht="15.75" customHeight="1" x14ac:dyDescent="0.2">
      <c r="B961" s="14"/>
    </row>
    <row r="962" spans="2:2" ht="15.75" customHeight="1" x14ac:dyDescent="0.2">
      <c r="B962" s="14"/>
    </row>
    <row r="963" spans="2:2" ht="15.75" customHeight="1" x14ac:dyDescent="0.2">
      <c r="B963" s="14"/>
    </row>
    <row r="964" spans="2:2" ht="15.75" customHeight="1" x14ac:dyDescent="0.2">
      <c r="B964" s="14"/>
    </row>
    <row r="965" spans="2:2" ht="15.75" customHeight="1" x14ac:dyDescent="0.2">
      <c r="B965" s="14"/>
    </row>
    <row r="966" spans="2:2" ht="15.75" customHeight="1" x14ac:dyDescent="0.2">
      <c r="B966" s="14"/>
    </row>
    <row r="967" spans="2:2" ht="15.75" customHeight="1" x14ac:dyDescent="0.2">
      <c r="B967" s="14"/>
    </row>
    <row r="968" spans="2:2" ht="15.75" customHeight="1" x14ac:dyDescent="0.2">
      <c r="B968" s="14"/>
    </row>
    <row r="969" spans="2:2" ht="15.75" customHeight="1" x14ac:dyDescent="0.2">
      <c r="B969" s="14"/>
    </row>
    <row r="970" spans="2:2" ht="15.75" customHeight="1" x14ac:dyDescent="0.2">
      <c r="B970" s="14"/>
    </row>
    <row r="971" spans="2:2" ht="15.75" customHeight="1" x14ac:dyDescent="0.2">
      <c r="B971" s="14"/>
    </row>
    <row r="972" spans="2:2" ht="15.75" customHeight="1" x14ac:dyDescent="0.2">
      <c r="B972" s="14"/>
    </row>
    <row r="973" spans="2:2" ht="15.75" customHeight="1" x14ac:dyDescent="0.2">
      <c r="B973" s="14"/>
    </row>
    <row r="974" spans="2:2" ht="15.75" customHeight="1" x14ac:dyDescent="0.2">
      <c r="B974" s="14"/>
    </row>
    <row r="975" spans="2:2" ht="15.75" customHeight="1" x14ac:dyDescent="0.2">
      <c r="B975" s="14"/>
    </row>
    <row r="976" spans="2:2" ht="15.75" customHeight="1" x14ac:dyDescent="0.2">
      <c r="B976" s="14"/>
    </row>
    <row r="977" spans="2:2" ht="15.75" customHeight="1" x14ac:dyDescent="0.2">
      <c r="B977" s="14"/>
    </row>
    <row r="978" spans="2:2" ht="15.75" customHeight="1" x14ac:dyDescent="0.2">
      <c r="B978" s="14"/>
    </row>
    <row r="979" spans="2:2" ht="15.75" customHeight="1" x14ac:dyDescent="0.2">
      <c r="B979" s="14"/>
    </row>
    <row r="980" spans="2:2" ht="15.75" customHeight="1" x14ac:dyDescent="0.2">
      <c r="B980" s="14"/>
    </row>
    <row r="981" spans="2:2" ht="15.75" customHeight="1" x14ac:dyDescent="0.2">
      <c r="B981" s="14"/>
    </row>
    <row r="982" spans="2:2" ht="15.75" customHeight="1" x14ac:dyDescent="0.2">
      <c r="B982" s="14"/>
    </row>
    <row r="983" spans="2:2" ht="15.75" customHeight="1" x14ac:dyDescent="0.2">
      <c r="B983" s="14"/>
    </row>
    <row r="984" spans="2:2" ht="15.75" customHeight="1" x14ac:dyDescent="0.2">
      <c r="B984" s="14"/>
    </row>
    <row r="985" spans="2:2" ht="15.75" customHeight="1" x14ac:dyDescent="0.2">
      <c r="B985" s="14"/>
    </row>
    <row r="986" spans="2:2" ht="15.75" customHeight="1" x14ac:dyDescent="0.2">
      <c r="B986" s="14"/>
    </row>
    <row r="987" spans="2:2" ht="15.75" customHeight="1" x14ac:dyDescent="0.2">
      <c r="B987" s="14"/>
    </row>
    <row r="988" spans="2:2" ht="15.75" customHeight="1" x14ac:dyDescent="0.2">
      <c r="B988" s="14"/>
    </row>
    <row r="989" spans="2:2" ht="15.75" customHeight="1" x14ac:dyDescent="0.2">
      <c r="B989" s="14"/>
    </row>
    <row r="990" spans="2:2" ht="15.75" customHeight="1" x14ac:dyDescent="0.2">
      <c r="B990" s="14"/>
    </row>
    <row r="991" spans="2:2" ht="15.75" customHeight="1" x14ac:dyDescent="0.2">
      <c r="B991" s="14"/>
    </row>
    <row r="992" spans="2:2" ht="15.75" customHeight="1" x14ac:dyDescent="0.2">
      <c r="B992" s="14"/>
    </row>
    <row r="993" spans="2:2" ht="15.75" customHeight="1" x14ac:dyDescent="0.2">
      <c r="B993" s="14"/>
    </row>
    <row r="994" spans="2:2" ht="15.75" customHeight="1" x14ac:dyDescent="0.2">
      <c r="B994" s="14"/>
    </row>
    <row r="995" spans="2:2" ht="15.75" customHeight="1" x14ac:dyDescent="0.2">
      <c r="B995" s="14"/>
    </row>
    <row r="996" spans="2:2" ht="15.75" customHeight="1" x14ac:dyDescent="0.2">
      <c r="B996" s="14"/>
    </row>
    <row r="997" spans="2:2" ht="15.75" customHeight="1" x14ac:dyDescent="0.2">
      <c r="B997" s="14"/>
    </row>
    <row r="998" spans="2:2" ht="15.75" customHeight="1" x14ac:dyDescent="0.2">
      <c r="B998" s="14"/>
    </row>
    <row r="999" spans="2:2" ht="15.75" customHeight="1" x14ac:dyDescent="0.2">
      <c r="B999" s="14"/>
    </row>
    <row r="1000" spans="2:2" ht="15.75" customHeight="1" x14ac:dyDescent="0.2">
      <c r="B1000" s="14"/>
    </row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130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129</v>
      </c>
    </row>
    <row r="4" spans="1:10" x14ac:dyDescent="0.2">
      <c r="A4" s="4" t="s">
        <v>4</v>
      </c>
      <c r="B4" s="5">
        <v>2.64</v>
      </c>
      <c r="C4" s="25">
        <v>1</v>
      </c>
      <c r="E4" s="4" t="s">
        <v>5</v>
      </c>
      <c r="F4" s="5">
        <f>(0.87+1.82)/2</f>
        <v>1.345</v>
      </c>
      <c r="G4" s="25">
        <v>2</v>
      </c>
      <c r="I4" s="6" t="s">
        <v>9</v>
      </c>
      <c r="J4" s="7">
        <v>3.11</v>
      </c>
    </row>
    <row r="5" spans="1:10" x14ac:dyDescent="0.2">
      <c r="A5" s="4" t="s">
        <v>7</v>
      </c>
      <c r="B5" s="9">
        <f>(1.09+1.58+1.06+1.12+1.87+1.03+0.98+0.89+1.05+1.83+1.64+1.75+0.9+1.72+1.16+1.78+1.97+1.83+2.37+2.03+2.12+1.96+1.44+1.09+1.4+0.94+3.54+1.91+2.44+1.45+0.12+1.27+1.43+1.01+2.16)/35</f>
        <v>1.5408571428571427</v>
      </c>
      <c r="C5" s="26">
        <v>35</v>
      </c>
      <c r="E5" s="4" t="s">
        <v>8</v>
      </c>
      <c r="F5" s="9">
        <f>(0.42+0.41+0.55+0.56+0.24+0.25)/6</f>
        <v>0.40499999999999997</v>
      </c>
      <c r="G5" s="26">
        <v>6</v>
      </c>
      <c r="I5" s="6" t="s">
        <v>12</v>
      </c>
      <c r="J5" s="7">
        <v>3.41</v>
      </c>
    </row>
    <row r="6" spans="1:10" x14ac:dyDescent="0.2">
      <c r="A6" s="4" t="s">
        <v>10</v>
      </c>
      <c r="B6" s="9">
        <f>(2.36+1.79)/2</f>
        <v>2.0750000000000002</v>
      </c>
      <c r="C6" s="26">
        <v>2</v>
      </c>
      <c r="E6" s="4" t="s">
        <v>11</v>
      </c>
      <c r="F6" s="9">
        <f>(0.52+0.31+0.45+0.53+0.4+0.4+0.39+0.43+0.4+0.42+0.48+0.54+0.56+0.37+0.42)/15</f>
        <v>0.44133333333333336</v>
      </c>
      <c r="G6" s="26">
        <v>15</v>
      </c>
      <c r="I6" s="6" t="s">
        <v>16</v>
      </c>
      <c r="J6" s="7">
        <v>3.08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0.45</v>
      </c>
      <c r="G7" s="25">
        <v>1</v>
      </c>
      <c r="I7" s="6" t="s">
        <v>19</v>
      </c>
      <c r="J7" s="7">
        <v>3.17</v>
      </c>
    </row>
    <row r="8" spans="1:10" x14ac:dyDescent="0.2">
      <c r="A8" s="4" t="s">
        <v>17</v>
      </c>
      <c r="B8" s="5">
        <f>(0.59+0.36+0.35+0.04+0.47+0.27)/6</f>
        <v>0.34666666666666668</v>
      </c>
      <c r="C8" s="25">
        <v>6</v>
      </c>
      <c r="E8" s="4" t="s">
        <v>18</v>
      </c>
      <c r="F8" s="5">
        <f>(0.67+0.48+0.59+0.63+0.68+0.94+0.7+0.78+0.74)/9</f>
        <v>0.69</v>
      </c>
      <c r="G8" s="25">
        <v>9</v>
      </c>
      <c r="I8" s="6" t="s">
        <v>22</v>
      </c>
      <c r="J8" s="7">
        <v>3.71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(0.71+0.48+0.8)/3</f>
        <v>0.66333333333333333</v>
      </c>
      <c r="G9" s="26">
        <v>3</v>
      </c>
      <c r="I9" s="6" t="s">
        <v>25</v>
      </c>
      <c r="J9" s="7">
        <v>3.95</v>
      </c>
    </row>
    <row r="10" spans="1:10" x14ac:dyDescent="0.2">
      <c r="A10" s="4" t="s">
        <v>23</v>
      </c>
      <c r="B10" s="9">
        <v>2.65</v>
      </c>
      <c r="C10" s="26">
        <v>1</v>
      </c>
      <c r="E10" s="4" t="s">
        <v>24</v>
      </c>
      <c r="F10" s="9">
        <f>(2.98+3.79+3.57+3.4+3.51)/5</f>
        <v>3.45</v>
      </c>
      <c r="G10" s="26">
        <v>5</v>
      </c>
      <c r="I10" s="6" t="s">
        <v>28</v>
      </c>
      <c r="J10" s="7">
        <v>3.81</v>
      </c>
    </row>
    <row r="11" spans="1:10" x14ac:dyDescent="0.2">
      <c r="A11" s="4" t="s">
        <v>26</v>
      </c>
      <c r="B11" s="5">
        <f>(0.85+0.61)/2</f>
        <v>0.73</v>
      </c>
      <c r="C11" s="25">
        <v>2</v>
      </c>
      <c r="E11" s="4" t="s">
        <v>27</v>
      </c>
      <c r="F11" s="5">
        <f>(0.27+0.46+0.32+0.34+0.31+0.38+0.32)/7</f>
        <v>0.34285714285714286</v>
      </c>
      <c r="G11" s="25">
        <v>7</v>
      </c>
      <c r="I11" s="6" t="s">
        <v>31</v>
      </c>
      <c r="J11" s="7">
        <v>3.76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3.74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2.77</v>
      </c>
    </row>
    <row r="14" spans="1:10" x14ac:dyDescent="0.2">
      <c r="A14" s="4" t="s">
        <v>35</v>
      </c>
      <c r="B14" s="9">
        <v>1.79</v>
      </c>
      <c r="C14" s="26">
        <v>1</v>
      </c>
      <c r="E14" s="4" t="s">
        <v>36</v>
      </c>
      <c r="F14" s="9">
        <f>(0.2+0.48+0.22+0.42+0.39+0.41+0.5+0.36+0.19+0.49+0.4+0.37+0.45+0.42+0.3+0.44+0.31+0.32+0.33+0.37+0.33+0.41+0.37+0.29+0.13)/25</f>
        <v>0.35600000000000004</v>
      </c>
      <c r="G14" s="26">
        <v>25</v>
      </c>
      <c r="I14" s="6" t="s">
        <v>40</v>
      </c>
      <c r="J14" s="7">
        <v>3.83</v>
      </c>
    </row>
    <row r="15" spans="1:10" x14ac:dyDescent="0.2">
      <c r="A15" s="4" t="s">
        <v>38</v>
      </c>
      <c r="B15" s="5">
        <v>1.79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3.61</v>
      </c>
    </row>
    <row r="16" spans="1:10" x14ac:dyDescent="0.2">
      <c r="A16" s="4" t="s">
        <v>41</v>
      </c>
      <c r="B16" s="5">
        <f>(2.37+2.76+2.34)/3</f>
        <v>2.4899999999999998</v>
      </c>
      <c r="C16" s="25">
        <v>3</v>
      </c>
      <c r="E16" s="4" t="s">
        <v>42</v>
      </c>
      <c r="F16" s="5">
        <v>0.47</v>
      </c>
      <c r="G16" s="25">
        <v>1</v>
      </c>
      <c r="I16" s="6" t="s">
        <v>46</v>
      </c>
      <c r="J16" s="7">
        <v>2.82</v>
      </c>
    </row>
    <row r="17" spans="1:10" x14ac:dyDescent="0.2">
      <c r="A17" s="4" t="s">
        <v>44</v>
      </c>
      <c r="B17" s="9">
        <v>1.26</v>
      </c>
      <c r="C17" s="26">
        <v>1</v>
      </c>
      <c r="E17" s="4" t="s">
        <v>45</v>
      </c>
      <c r="F17" s="9">
        <f>(0.41+0.5+0.57+0.56+0.55+0.59+0.37+0.5+0.45+0.53)/10</f>
        <v>0.503</v>
      </c>
      <c r="G17" s="26">
        <v>10</v>
      </c>
      <c r="I17" s="6" t="s">
        <v>49</v>
      </c>
      <c r="J17" s="7">
        <v>2.5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(1.35+1.52+1.54+1.5+1.64+2.18+1.48+1.42+1.16+1.4+1.34+1.37+1.25+1.34+1.25+1.5+1.06+2.12+1.38+1.74+1.34+1.51+1.14+1.11)/24</f>
        <v>1.4433333333333334</v>
      </c>
      <c r="G18" s="26">
        <v>24</v>
      </c>
      <c r="I18" s="6" t="s">
        <v>52</v>
      </c>
      <c r="J18" s="7">
        <v>3.85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(1.93+1.8+1.96+1.8)/4</f>
        <v>1.8724999999999998</v>
      </c>
      <c r="G19" s="25">
        <v>4</v>
      </c>
      <c r="I19" s="6" t="s">
        <v>55</v>
      </c>
      <c r="J19" s="7">
        <v>3.53</v>
      </c>
    </row>
    <row r="20" spans="1:10" x14ac:dyDescent="0.2">
      <c r="A20" s="4" t="s">
        <v>53</v>
      </c>
      <c r="B20" s="24">
        <f>(0.51+0.45+0.56+0.35+0.66)/5</f>
        <v>0.50600000000000001</v>
      </c>
      <c r="C20" s="30">
        <v>5</v>
      </c>
      <c r="E20" s="4" t="s">
        <v>54</v>
      </c>
      <c r="F20" s="5">
        <f>(2.89+2.64+2.9+3.47)/4</f>
        <v>2.9750000000000001</v>
      </c>
      <c r="G20" s="25">
        <v>4</v>
      </c>
      <c r="I20" s="6" t="s">
        <v>58</v>
      </c>
      <c r="J20" s="7">
        <v>2.96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(0.93+0.62+0.71+0.66+0.73+0.66+0.44+0.12)/8</f>
        <v>0.60875000000000001</v>
      </c>
      <c r="G21" s="26">
        <v>8</v>
      </c>
      <c r="I21" s="6" t="s">
        <v>62</v>
      </c>
      <c r="J21" s="7">
        <v>3.55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65</v>
      </c>
      <c r="J22" s="7">
        <v>3.63</v>
      </c>
    </row>
    <row r="23" spans="1:10" ht="15.75" customHeight="1" x14ac:dyDescent="0.2">
      <c r="A23" s="4" t="s">
        <v>63</v>
      </c>
      <c r="B23" s="5">
        <v>1.7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3.52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3.64</v>
      </c>
    </row>
    <row r="25" spans="1:10" ht="15.75" customHeight="1" x14ac:dyDescent="0.2">
      <c r="A25" s="4" t="s">
        <v>69</v>
      </c>
      <c r="B25" s="9">
        <f>(0.47+0.42+0.48)/3</f>
        <v>0.45666666666666661</v>
      </c>
      <c r="C25" s="26">
        <v>3</v>
      </c>
      <c r="E25" s="4" t="s">
        <v>70</v>
      </c>
      <c r="F25" s="9">
        <f>(2.22+0.93)/2</f>
        <v>1.5750000000000002</v>
      </c>
      <c r="G25" s="26">
        <v>2</v>
      </c>
      <c r="I25" s="6" t="s">
        <v>74</v>
      </c>
      <c r="J25" s="7">
        <v>4.1500000000000004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v>3.54</v>
      </c>
      <c r="G26" s="26">
        <v>1</v>
      </c>
      <c r="I26" s="6" t="s">
        <v>77</v>
      </c>
      <c r="J26" s="7">
        <v>3.83</v>
      </c>
    </row>
    <row r="27" spans="1:10" ht="15.75" customHeight="1" x14ac:dyDescent="0.2">
      <c r="A27" s="4" t="s">
        <v>75</v>
      </c>
      <c r="B27" s="5">
        <v>2.64</v>
      </c>
      <c r="C27" s="25">
        <v>1</v>
      </c>
      <c r="E27" s="4" t="s">
        <v>76</v>
      </c>
      <c r="F27" s="5">
        <f>(0.6+0.54+1+0.59+0.47+0.46)/6</f>
        <v>0.61</v>
      </c>
      <c r="G27" s="25">
        <v>6</v>
      </c>
      <c r="I27" s="6" t="s">
        <v>80</v>
      </c>
      <c r="J27" s="7">
        <v>3.45</v>
      </c>
    </row>
    <row r="28" spans="1:10" ht="15.75" customHeight="1" x14ac:dyDescent="0.2">
      <c r="A28" s="4" t="s">
        <v>78</v>
      </c>
      <c r="B28" s="5">
        <f>(0.38+0.81+0.29+0.58+0.13+0.67+0.61)/7</f>
        <v>0.49571428571428566</v>
      </c>
      <c r="C28" s="25">
        <v>7</v>
      </c>
      <c r="E28" s="4" t="s">
        <v>79</v>
      </c>
      <c r="F28" s="5">
        <f>(0.41+0.51+0.6+0.56+0.81+0.44+0.6+0.68+0.43+0.78+0.5+0.49+0.56+0.41+0.55+0.67)/16</f>
        <v>0.56250000000000011</v>
      </c>
      <c r="G28" s="25">
        <v>16</v>
      </c>
      <c r="I28" s="6" t="s">
        <v>83</v>
      </c>
      <c r="J28" s="7">
        <v>3.4</v>
      </c>
    </row>
    <row r="29" spans="1:10" ht="15.75" customHeight="1" x14ac:dyDescent="0.2">
      <c r="A29" s="4" t="s">
        <v>81</v>
      </c>
      <c r="B29" s="9">
        <f>(2.66+3.27+3.66+2.47+2.9)/5</f>
        <v>2.992</v>
      </c>
      <c r="C29" s="26">
        <v>5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4</v>
      </c>
    </row>
    <row r="30" spans="1:10" ht="15.75" customHeight="1" x14ac:dyDescent="0.2">
      <c r="A30" s="4" t="s">
        <v>84</v>
      </c>
      <c r="B30" s="9">
        <f>(0+1.3)/2</f>
        <v>0.65</v>
      </c>
      <c r="C30" s="26">
        <v>2</v>
      </c>
      <c r="E30" s="4" t="s">
        <v>85</v>
      </c>
      <c r="F30" s="9">
        <f>(0.97+0.69)/2</f>
        <v>0.83</v>
      </c>
      <c r="G30" s="26">
        <v>2</v>
      </c>
      <c r="I30" s="6" t="s">
        <v>89</v>
      </c>
      <c r="J30" s="7">
        <v>3.28</v>
      </c>
    </row>
    <row r="31" spans="1:10" ht="15.75" customHeight="1" x14ac:dyDescent="0.2">
      <c r="A31" s="4" t="s">
        <v>87</v>
      </c>
      <c r="B31" s="5">
        <f>(0.62+0.48)/2</f>
        <v>0.55000000000000004</v>
      </c>
      <c r="C31" s="25">
        <v>2</v>
      </c>
      <c r="E31" s="4" t="s">
        <v>88</v>
      </c>
      <c r="F31" s="5">
        <f>(1.68+2.71)/2</f>
        <v>2.1949999999999998</v>
      </c>
      <c r="G31" s="25">
        <v>2</v>
      </c>
      <c r="I31" s="6" t="s">
        <v>91</v>
      </c>
      <c r="J31" s="7">
        <v>3.73</v>
      </c>
    </row>
    <row r="32" spans="1:10" ht="15.75" customHeight="1" x14ac:dyDescent="0.2">
      <c r="A32" s="4" t="s">
        <v>65</v>
      </c>
      <c r="B32" s="5" t="s">
        <v>14</v>
      </c>
      <c r="C32" s="25">
        <v>0</v>
      </c>
      <c r="E32" s="4" t="s">
        <v>90</v>
      </c>
      <c r="F32" s="5">
        <f>(0.43+0.42+0.59+0.44+0.74+0.19+0.26)/7</f>
        <v>0.43857142857142861</v>
      </c>
      <c r="G32" s="25">
        <v>7</v>
      </c>
      <c r="I32" s="6" t="s">
        <v>94</v>
      </c>
      <c r="J32" s="7">
        <v>2.9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(0.29+0.47)/2</f>
        <v>0.38</v>
      </c>
      <c r="G33" s="26">
        <v>2</v>
      </c>
      <c r="I33" s="6" t="s">
        <v>97</v>
      </c>
      <c r="J33" s="7">
        <v>3.07</v>
      </c>
    </row>
    <row r="34" spans="1:10" ht="15.75" customHeight="1" x14ac:dyDescent="0.2">
      <c r="A34" s="4" t="s">
        <v>95</v>
      </c>
      <c r="B34" s="9">
        <v>0.99</v>
      </c>
      <c r="C34" s="26">
        <v>1</v>
      </c>
      <c r="E34" s="4" t="s">
        <v>96</v>
      </c>
      <c r="F34" s="9">
        <v>2.4300000000000002</v>
      </c>
      <c r="G34" s="26">
        <v>1</v>
      </c>
      <c r="I34" s="6" t="s">
        <v>100</v>
      </c>
      <c r="J34" s="7">
        <v>3.92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(1.95+2.18)/2</f>
        <v>2.0649999999999999</v>
      </c>
      <c r="G35" s="25">
        <v>2</v>
      </c>
      <c r="I35" s="6" t="s">
        <v>103</v>
      </c>
      <c r="J35" s="7">
        <v>3.5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(0.63+0.47+0.42)/3</f>
        <v>0.50666666666666671</v>
      </c>
      <c r="G36" s="25">
        <v>3</v>
      </c>
      <c r="I36" s="6" t="s">
        <v>105</v>
      </c>
      <c r="J36" s="7">
        <v>3.06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3.3</v>
      </c>
    </row>
    <row r="38" spans="1:10" ht="15.75" customHeight="1" x14ac:dyDescent="0.2">
      <c r="I38" s="6" t="s">
        <v>107</v>
      </c>
      <c r="J38" s="7">
        <v>2.86</v>
      </c>
    </row>
    <row r="39" spans="1:10" ht="15.75" customHeight="1" x14ac:dyDescent="0.2">
      <c r="I39" s="6" t="s">
        <v>108</v>
      </c>
      <c r="J39" s="7">
        <v>2.89</v>
      </c>
    </row>
    <row r="40" spans="1:10" ht="15.75" customHeight="1" x14ac:dyDescent="0.2">
      <c r="I40" s="6" t="s">
        <v>109</v>
      </c>
      <c r="J40" s="7">
        <v>3.47</v>
      </c>
    </row>
    <row r="41" spans="1:10" ht="15.75" customHeight="1" x14ac:dyDescent="0.2">
      <c r="I41" s="6" t="s">
        <v>110</v>
      </c>
      <c r="J41" s="7">
        <v>3.06</v>
      </c>
    </row>
    <row r="42" spans="1:10" ht="15.75" customHeight="1" x14ac:dyDescent="0.2">
      <c r="I42" s="6" t="s">
        <v>111</v>
      </c>
      <c r="J42" s="7">
        <v>3.32</v>
      </c>
    </row>
    <row r="43" spans="1:10" ht="15.75" customHeight="1" x14ac:dyDescent="0.2">
      <c r="I43" s="6" t="s">
        <v>112</v>
      </c>
      <c r="J43" s="7">
        <v>3.76</v>
      </c>
    </row>
    <row r="44" spans="1:10" ht="15.75" customHeight="1" x14ac:dyDescent="0.2">
      <c r="I44" s="6" t="s">
        <v>113</v>
      </c>
      <c r="J44" s="7">
        <v>3.56</v>
      </c>
    </row>
    <row r="45" spans="1:10" ht="15.75" customHeight="1" x14ac:dyDescent="0.2">
      <c r="I45" s="6" t="s">
        <v>114</v>
      </c>
      <c r="J45" s="7">
        <v>2.9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131</v>
      </c>
      <c r="B2" s="32"/>
      <c r="C2" s="32"/>
      <c r="D2" s="32"/>
      <c r="E2" s="32"/>
      <c r="F2" s="32"/>
      <c r="G2" s="32"/>
      <c r="H2" s="32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132</v>
      </c>
    </row>
    <row r="4" spans="1:10" x14ac:dyDescent="0.2">
      <c r="A4" s="4" t="s">
        <v>4</v>
      </c>
      <c r="B4" s="5">
        <f>(4.37+0.29)/2</f>
        <v>2.33</v>
      </c>
      <c r="C4" s="25">
        <v>2</v>
      </c>
      <c r="E4" s="4" t="s">
        <v>5</v>
      </c>
      <c r="F4" s="5">
        <f>(3.21+4.02)/2</f>
        <v>3.6149999999999998</v>
      </c>
      <c r="G4" s="25">
        <v>2</v>
      </c>
      <c r="I4" s="6" t="s">
        <v>9</v>
      </c>
      <c r="J4" s="7">
        <v>4.6100000000000003</v>
      </c>
    </row>
    <row r="5" spans="1:10" x14ac:dyDescent="0.2">
      <c r="A5" s="4" t="s">
        <v>7</v>
      </c>
      <c r="B5" s="9">
        <f>(4.14+3.77+4.03+4.39+3.84+3.64+3.5+2.77+4.18+3.97+1.93+5.14+3.5+5.04+3.13+5.08+3.79+3.45+0.56+3.81+3.66+4.09+3.66+3.09+3.92+3.4+3.81+3.99+3.64+3.71+4.22+3.2+2.8+4.01+3.2+4.12)/36</f>
        <v>3.6716666666666669</v>
      </c>
      <c r="C5" s="26">
        <v>36</v>
      </c>
      <c r="E5" s="4" t="s">
        <v>8</v>
      </c>
      <c r="F5" s="9">
        <f>(3.13+2.98+4.03+3.22+2.99+3.33)/6</f>
        <v>3.28</v>
      </c>
      <c r="G5" s="26">
        <v>6</v>
      </c>
      <c r="I5" s="6" t="s">
        <v>12</v>
      </c>
      <c r="J5" s="7">
        <v>4.93</v>
      </c>
    </row>
    <row r="6" spans="1:10" x14ac:dyDescent="0.2">
      <c r="A6" s="4" t="s">
        <v>10</v>
      </c>
      <c r="B6" s="9">
        <f>(3.07+1.7)/2</f>
        <v>2.3849999999999998</v>
      </c>
      <c r="C6" s="26">
        <v>2</v>
      </c>
      <c r="E6" s="4" t="s">
        <v>11</v>
      </c>
      <c r="F6" s="9">
        <f>(1.73+1.27+1.26+1.32+1.29+1.69+1.26+1.36+1.57+1.43+1.6+1.18+1.8+1.56+1.33)/15</f>
        <v>1.4433333333333331</v>
      </c>
      <c r="G6" s="26">
        <v>15</v>
      </c>
      <c r="I6" s="6" t="s">
        <v>16</v>
      </c>
      <c r="J6" s="7">
        <v>4.79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3.2</v>
      </c>
      <c r="G7" s="25">
        <v>1</v>
      </c>
      <c r="I7" s="6" t="s">
        <v>19</v>
      </c>
      <c r="J7" s="7">
        <v>4.84</v>
      </c>
    </row>
    <row r="8" spans="1:10" x14ac:dyDescent="0.2">
      <c r="A8" s="4" t="s">
        <v>17</v>
      </c>
      <c r="B8" s="5">
        <f>(1.06+1.28+1.56+0.58+1.49+1.18)/6</f>
        <v>1.1916666666666667</v>
      </c>
      <c r="C8" s="25">
        <v>6</v>
      </c>
      <c r="E8" s="4" t="s">
        <v>18</v>
      </c>
      <c r="F8" s="5">
        <f>(3.3+3.32+2.76+2.91+1.95+2.34+2.93+2.36+2.71)/9</f>
        <v>2.7311111111111108</v>
      </c>
      <c r="G8" s="25">
        <v>9</v>
      </c>
      <c r="I8" s="6" t="s">
        <v>22</v>
      </c>
      <c r="J8" s="7">
        <v>4.7300000000000004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(2.48+0.17+2.51+2.54)/4</f>
        <v>1.925</v>
      </c>
      <c r="G9" s="26">
        <v>4</v>
      </c>
      <c r="I9" s="6" t="s">
        <v>25</v>
      </c>
      <c r="J9" s="7">
        <v>5.14</v>
      </c>
    </row>
    <row r="10" spans="1:10" x14ac:dyDescent="0.2">
      <c r="A10" s="4" t="s">
        <v>23</v>
      </c>
      <c r="B10" s="9">
        <v>2.95</v>
      </c>
      <c r="C10" s="26">
        <v>1</v>
      </c>
      <c r="E10" s="4" t="s">
        <v>24</v>
      </c>
      <c r="F10" s="9">
        <f>(3.31+3.25+3.02+1.51)/4</f>
        <v>2.7725</v>
      </c>
      <c r="G10" s="26">
        <v>4</v>
      </c>
      <c r="I10" s="6" t="s">
        <v>28</v>
      </c>
      <c r="J10" s="7">
        <v>5.0599999999999996</v>
      </c>
    </row>
    <row r="11" spans="1:10" x14ac:dyDescent="0.2">
      <c r="A11" s="4" t="s">
        <v>26</v>
      </c>
      <c r="B11" s="5">
        <f>(1.43+1.18)/2</f>
        <v>1.3049999999999999</v>
      </c>
      <c r="C11" s="25">
        <v>2</v>
      </c>
      <c r="E11" s="4" t="s">
        <v>27</v>
      </c>
      <c r="F11" s="5">
        <f>(3.03+2.22+2.68+2.96+3.04+2.81+3.31)/7</f>
        <v>2.8642857142857139</v>
      </c>
      <c r="G11" s="25">
        <v>7</v>
      </c>
      <c r="I11" s="6" t="s">
        <v>31</v>
      </c>
      <c r="J11" s="7">
        <v>5.2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5.08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5.04</v>
      </c>
    </row>
    <row r="14" spans="1:10" x14ac:dyDescent="0.2">
      <c r="A14" s="4" t="s">
        <v>35</v>
      </c>
      <c r="B14" s="9">
        <v>2.59</v>
      </c>
      <c r="C14" s="26">
        <v>1</v>
      </c>
      <c r="E14" s="4" t="s">
        <v>36</v>
      </c>
      <c r="F14" s="9">
        <f>(3.56+2.64+2.86+2.73+3.4+2.28+3.17+2.68+3.48+3.35+2.18+2.69+2.64+3.23+3.31+0+3.19+2.43+2.68+3.21+3.48+2.8+2.75+3.07+1.87+3.46+2.03+0.31)/28</f>
        <v>2.6957142857142853</v>
      </c>
      <c r="G14" s="26">
        <v>28</v>
      </c>
      <c r="I14" s="6" t="s">
        <v>40</v>
      </c>
      <c r="J14" s="7">
        <v>5.78</v>
      </c>
    </row>
    <row r="15" spans="1:10" x14ac:dyDescent="0.2">
      <c r="A15" s="4" t="s">
        <v>38</v>
      </c>
      <c r="B15" s="5">
        <v>2.23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5.78</v>
      </c>
    </row>
    <row r="16" spans="1:10" x14ac:dyDescent="0.2">
      <c r="A16" s="4" t="s">
        <v>41</v>
      </c>
      <c r="B16" s="5">
        <f>(9.13+6.8+7.43)/3</f>
        <v>7.7866666666666662</v>
      </c>
      <c r="C16" s="25">
        <v>3</v>
      </c>
      <c r="E16" s="4" t="s">
        <v>42</v>
      </c>
      <c r="F16" s="5">
        <v>3.05</v>
      </c>
      <c r="G16" s="25">
        <v>1</v>
      </c>
      <c r="I16" s="6" t="s">
        <v>46</v>
      </c>
      <c r="J16" s="7">
        <v>5.05</v>
      </c>
    </row>
    <row r="17" spans="1:10" x14ac:dyDescent="0.2">
      <c r="A17" s="4" t="s">
        <v>44</v>
      </c>
      <c r="B17" s="9">
        <v>2.17</v>
      </c>
      <c r="C17" s="26">
        <v>1</v>
      </c>
      <c r="E17" s="4" t="s">
        <v>45</v>
      </c>
      <c r="F17" s="9">
        <f>(2.52+2.53+2.43+2.56+2.29+2.12+2.14+3.3+3.12+2.66)/10</f>
        <v>2.5670000000000006</v>
      </c>
      <c r="G17" s="26">
        <v>10</v>
      </c>
      <c r="I17" s="6" t="s">
        <v>49</v>
      </c>
      <c r="J17" s="7">
        <v>4.03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(5.44+5.93+5.1+6.15+5.68+0.02+5.01+4.98+5.49+5.27+5.15+3.96+9.69+4.59+5.05+5.03+0.6+6.24+6.14+8.67+2.7+5.48+4.9+5.24+6.13+4.21+5.15)/27</f>
        <v>5.1111111111111125</v>
      </c>
      <c r="G18" s="26">
        <v>27</v>
      </c>
      <c r="I18" s="6" t="s">
        <v>52</v>
      </c>
      <c r="J18" s="7">
        <v>4.1399999999999997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(4.21+4.7+5.65+4.98)/4</f>
        <v>4.8849999999999998</v>
      </c>
      <c r="G19" s="25">
        <v>4</v>
      </c>
      <c r="I19" s="6" t="s">
        <v>55</v>
      </c>
      <c r="J19" s="7">
        <v>4.63</v>
      </c>
    </row>
    <row r="20" spans="1:10" x14ac:dyDescent="0.2">
      <c r="A20" s="4" t="s">
        <v>53</v>
      </c>
      <c r="B20" s="24">
        <f>(2.8+2.87+2.79+2.67+2.74)/5</f>
        <v>2.774</v>
      </c>
      <c r="C20" s="30">
        <v>5</v>
      </c>
      <c r="E20" s="4" t="s">
        <v>54</v>
      </c>
      <c r="F20" s="5">
        <f>(3.87+4.11+3.66+4.47)/4</f>
        <v>4.0274999999999999</v>
      </c>
      <c r="G20" s="25">
        <v>4</v>
      </c>
      <c r="I20" s="6" t="s">
        <v>58</v>
      </c>
      <c r="J20" s="7">
        <v>4.0999999999999996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(2.45+3.26+2.92+2.66+2.63+2.72+1.89+1.95)/8</f>
        <v>2.5599999999999996</v>
      </c>
      <c r="G21" s="26">
        <v>8</v>
      </c>
      <c r="I21" s="6" t="s">
        <v>62</v>
      </c>
      <c r="J21" s="7">
        <v>4.88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65</v>
      </c>
      <c r="J22" s="7">
        <v>4.8099999999999996</v>
      </c>
    </row>
    <row r="23" spans="1:10" ht="15.75" customHeight="1" x14ac:dyDescent="0.2">
      <c r="A23" s="4" t="s">
        <v>63</v>
      </c>
      <c r="B23" s="5">
        <v>3.43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5.24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5.2</v>
      </c>
    </row>
    <row r="25" spans="1:10" ht="15.75" customHeight="1" x14ac:dyDescent="0.2">
      <c r="A25" s="4" t="s">
        <v>69</v>
      </c>
      <c r="B25" s="9">
        <f>(3.05+2.02+2.95)/3</f>
        <v>2.6733333333333333</v>
      </c>
      <c r="C25" s="26">
        <v>3</v>
      </c>
      <c r="E25" s="4" t="s">
        <v>70</v>
      </c>
      <c r="F25" s="9">
        <f>(3.5+1.6)/2</f>
        <v>2.5499999999999998</v>
      </c>
      <c r="G25" s="26">
        <v>2</v>
      </c>
      <c r="I25" s="6" t="s">
        <v>74</v>
      </c>
      <c r="J25" s="7">
        <v>5.72</v>
      </c>
    </row>
    <row r="26" spans="1:10" ht="15.75" customHeight="1" x14ac:dyDescent="0.2">
      <c r="A26" s="4" t="s">
        <v>72</v>
      </c>
      <c r="B26" s="9" t="s">
        <v>61</v>
      </c>
      <c r="C26" s="26">
        <v>0</v>
      </c>
      <c r="E26" s="4" t="s">
        <v>73</v>
      </c>
      <c r="F26" s="9">
        <v>2.59</v>
      </c>
      <c r="G26" s="26">
        <v>1</v>
      </c>
      <c r="I26" s="6" t="s">
        <v>77</v>
      </c>
      <c r="J26" s="7">
        <v>5.2</v>
      </c>
    </row>
    <row r="27" spans="1:10" ht="15.75" customHeight="1" x14ac:dyDescent="0.2">
      <c r="A27" s="4" t="s">
        <v>75</v>
      </c>
      <c r="B27" s="5">
        <v>3.55</v>
      </c>
      <c r="C27" s="25">
        <v>1</v>
      </c>
      <c r="E27" s="4" t="s">
        <v>76</v>
      </c>
      <c r="F27" s="5">
        <f>(1.7+1.38+1.71+1.56+1.62+1.35)/6</f>
        <v>1.5533333333333335</v>
      </c>
      <c r="G27" s="25">
        <v>6</v>
      </c>
      <c r="I27" s="6" t="s">
        <v>80</v>
      </c>
      <c r="J27" s="7">
        <v>4.71</v>
      </c>
    </row>
    <row r="28" spans="1:10" ht="15.75" customHeight="1" x14ac:dyDescent="0.2">
      <c r="A28" s="4" t="s">
        <v>78</v>
      </c>
      <c r="B28" s="5">
        <f>(2.15+1.73+3.79+1.64+1.39+1.98+1.98)/7</f>
        <v>2.0942857142857148</v>
      </c>
      <c r="C28" s="25">
        <v>7</v>
      </c>
      <c r="E28" s="4" t="s">
        <v>79</v>
      </c>
      <c r="F28" s="5">
        <f>(1.65+1.79+1.96+0.59+1.49+1.57+1.91+1.7+1.4+1.51+1.47+1.56+1.65+1.33+0.98+1.4)/16</f>
        <v>1.4974999999999998</v>
      </c>
      <c r="G28" s="25">
        <v>16</v>
      </c>
      <c r="I28" s="6" t="s">
        <v>83</v>
      </c>
      <c r="J28" s="7">
        <v>4.7</v>
      </c>
    </row>
    <row r="29" spans="1:10" ht="15.75" customHeight="1" x14ac:dyDescent="0.2">
      <c r="A29" s="4" t="s">
        <v>81</v>
      </c>
      <c r="B29" s="9">
        <f>(4.82+4.52+4.41+4.08)/4</f>
        <v>4.4574999999999996</v>
      </c>
      <c r="C29" s="26">
        <v>4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5.68</v>
      </c>
    </row>
    <row r="30" spans="1:10" ht="15.75" customHeight="1" x14ac:dyDescent="0.2">
      <c r="A30" s="4" t="s">
        <v>84</v>
      </c>
      <c r="B30" s="9">
        <f>(3.38+3.12)/2</f>
        <v>3.25</v>
      </c>
      <c r="C30" s="26">
        <v>2</v>
      </c>
      <c r="E30" s="4" t="s">
        <v>85</v>
      </c>
      <c r="F30" s="9">
        <f>(1.77+1.53)/2</f>
        <v>1.65</v>
      </c>
      <c r="G30" s="26">
        <v>2</v>
      </c>
      <c r="I30" s="6" t="s">
        <v>89</v>
      </c>
      <c r="J30" s="7">
        <v>4.58</v>
      </c>
    </row>
    <row r="31" spans="1:10" ht="15.75" customHeight="1" x14ac:dyDescent="0.2">
      <c r="A31" s="4" t="s">
        <v>87</v>
      </c>
      <c r="B31" s="5">
        <f>(1.15+1.49)/2</f>
        <v>1.3199999999999998</v>
      </c>
      <c r="C31" s="25">
        <v>2</v>
      </c>
      <c r="E31" s="4" t="s">
        <v>88</v>
      </c>
      <c r="F31" s="5">
        <f>(1.66+2.7)/2</f>
        <v>2.1800000000000002</v>
      </c>
      <c r="G31" s="25">
        <v>2</v>
      </c>
      <c r="I31" s="6" t="s">
        <v>91</v>
      </c>
      <c r="J31" s="7">
        <v>4.83</v>
      </c>
    </row>
    <row r="32" spans="1:10" ht="15.75" customHeight="1" x14ac:dyDescent="0.2">
      <c r="A32" s="4" t="s">
        <v>65</v>
      </c>
      <c r="B32" s="5" t="s">
        <v>14</v>
      </c>
      <c r="C32" s="25">
        <v>0</v>
      </c>
      <c r="E32" s="4" t="s">
        <v>90</v>
      </c>
      <c r="F32" s="5">
        <f>(1.58+1.51+3.19+2.08+2.02)/5</f>
        <v>2.0759999999999996</v>
      </c>
      <c r="G32" s="25">
        <v>5</v>
      </c>
      <c r="I32" s="6" t="s">
        <v>94</v>
      </c>
      <c r="J32" s="7">
        <v>4.91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(1.7+2.09)/2</f>
        <v>1.895</v>
      </c>
      <c r="G33" s="26">
        <v>2</v>
      </c>
      <c r="I33" s="6" t="s">
        <v>97</v>
      </c>
      <c r="J33" s="7">
        <v>4.91</v>
      </c>
    </row>
    <row r="34" spans="1:10" ht="15.75" customHeight="1" x14ac:dyDescent="0.2">
      <c r="A34" s="4" t="s">
        <v>95</v>
      </c>
      <c r="B34" s="9">
        <v>3.26</v>
      </c>
      <c r="C34" s="26">
        <v>1</v>
      </c>
      <c r="E34" s="4" t="s">
        <v>96</v>
      </c>
      <c r="F34" s="9">
        <v>5.48</v>
      </c>
      <c r="G34" s="26">
        <v>1</v>
      </c>
      <c r="I34" s="6" t="s">
        <v>100</v>
      </c>
      <c r="J34" s="7">
        <v>5.12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(5.76+5.86)/2</f>
        <v>5.8100000000000005</v>
      </c>
      <c r="G35" s="25">
        <v>2</v>
      </c>
      <c r="I35" s="6" t="s">
        <v>103</v>
      </c>
      <c r="J35" s="7">
        <v>4.9000000000000004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(2.91+2.12+2.22)/3</f>
        <v>2.4166666666666665</v>
      </c>
      <c r="G36" s="25">
        <v>3</v>
      </c>
      <c r="I36" s="6" t="s">
        <v>105</v>
      </c>
      <c r="J36" s="7">
        <v>4.34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5</v>
      </c>
    </row>
    <row r="38" spans="1:10" ht="15.75" customHeight="1" x14ac:dyDescent="0.2">
      <c r="I38" s="6" t="s">
        <v>107</v>
      </c>
      <c r="J38" s="7">
        <v>4.51</v>
      </c>
    </row>
    <row r="39" spans="1:10" ht="15.75" customHeight="1" x14ac:dyDescent="0.2">
      <c r="I39" s="6" t="s">
        <v>108</v>
      </c>
      <c r="J39" s="7">
        <v>5.05</v>
      </c>
    </row>
    <row r="40" spans="1:10" ht="15.75" customHeight="1" x14ac:dyDescent="0.2">
      <c r="I40" s="6" t="s">
        <v>109</v>
      </c>
      <c r="J40" s="7">
        <v>4.8</v>
      </c>
    </row>
    <row r="41" spans="1:10" ht="15.75" customHeight="1" x14ac:dyDescent="0.2">
      <c r="I41" s="6" t="s">
        <v>110</v>
      </c>
      <c r="J41" s="7">
        <v>5.0599999999999996</v>
      </c>
    </row>
    <row r="42" spans="1:10" ht="15.75" customHeight="1" x14ac:dyDescent="0.2">
      <c r="I42" s="6" t="s">
        <v>111</v>
      </c>
      <c r="J42" s="7">
        <v>4.9000000000000004</v>
      </c>
    </row>
    <row r="43" spans="1:10" ht="15.75" customHeight="1" x14ac:dyDescent="0.2">
      <c r="I43" s="6" t="s">
        <v>112</v>
      </c>
      <c r="J43" s="7">
        <v>5.48</v>
      </c>
    </row>
    <row r="44" spans="1:10" ht="15.75" customHeight="1" x14ac:dyDescent="0.2">
      <c r="I44" s="6" t="s">
        <v>113</v>
      </c>
      <c r="J44" s="7">
        <v>4.92</v>
      </c>
    </row>
    <row r="45" spans="1:10" ht="15.75" customHeight="1" x14ac:dyDescent="0.2">
      <c r="I45" s="6" t="s">
        <v>114</v>
      </c>
      <c r="J45" s="7">
        <v>4.2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133</v>
      </c>
      <c r="B2" s="32"/>
      <c r="C2" s="32"/>
      <c r="D2" s="32"/>
      <c r="E2" s="32"/>
      <c r="F2" s="32"/>
      <c r="G2" s="32"/>
      <c r="H2" s="32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134</v>
      </c>
    </row>
    <row r="4" spans="1:10" x14ac:dyDescent="0.2">
      <c r="A4" s="4" t="s">
        <v>4</v>
      </c>
      <c r="B4" s="7">
        <f>(1.31+0.14)/2</f>
        <v>0.72500000000000009</v>
      </c>
      <c r="C4" s="6">
        <v>2</v>
      </c>
      <c r="E4" s="4" t="s">
        <v>5</v>
      </c>
      <c r="F4" s="5">
        <f>(6.82+6.17)/2</f>
        <v>6.4950000000000001</v>
      </c>
      <c r="G4" s="25">
        <v>2</v>
      </c>
      <c r="I4" s="6" t="s">
        <v>9</v>
      </c>
      <c r="J4" s="7">
        <v>4.7300000000000004</v>
      </c>
    </row>
    <row r="5" spans="1:10" x14ac:dyDescent="0.2">
      <c r="A5" s="4" t="s">
        <v>7</v>
      </c>
      <c r="B5" s="9">
        <f>(6.92+5.9+4.53+4.68+5.48+4.81+3.52+4.3+5.91+6.68+2.37+4.83+4.99+4.28+4.57+5.28+5.98+3.97+5.13+4.08+3.38+8.34+4.96+4.22+4.91+4.47+5.84+5.73+3.89+4.43+4.92+4.46+4.75+4.74+4.77)/35</f>
        <v>4.9148571428571426</v>
      </c>
      <c r="C5" s="26">
        <v>35</v>
      </c>
      <c r="E5" s="4" t="s">
        <v>8</v>
      </c>
      <c r="F5" s="9">
        <f>(6.18+6.09+7.7+6.79+4.46+7.01)/6</f>
        <v>6.3716666666666661</v>
      </c>
      <c r="G5" s="26">
        <v>6</v>
      </c>
      <c r="I5" s="6" t="s">
        <v>12</v>
      </c>
      <c r="J5" s="7">
        <v>4.9800000000000004</v>
      </c>
    </row>
    <row r="6" spans="1:10" x14ac:dyDescent="0.2">
      <c r="A6" s="4" t="s">
        <v>10</v>
      </c>
      <c r="B6" s="9">
        <f>(3.07+2.8)/2</f>
        <v>2.9349999999999996</v>
      </c>
      <c r="C6" s="26">
        <v>2</v>
      </c>
      <c r="E6" s="4" t="s">
        <v>11</v>
      </c>
      <c r="F6" s="9">
        <f>(3.58+4.16+3.96+2.82+3.22+4.79+1.96+4.47+4.01+4.87+3.68+3.63+3.48+3.63+0.5+5.13+0)/17</f>
        <v>3.4052941176470588</v>
      </c>
      <c r="G6" s="26">
        <v>17</v>
      </c>
      <c r="I6" s="6" t="s">
        <v>16</v>
      </c>
      <c r="J6" s="7">
        <v>4.9000000000000004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4.41</v>
      </c>
      <c r="G7" s="25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5">
        <f>(3.51+3.51+3.43+0.15+4.17+3.68)/6</f>
        <v>3.0749999999999997</v>
      </c>
      <c r="C8" s="25">
        <v>6</v>
      </c>
      <c r="E8" s="4" t="s">
        <v>18</v>
      </c>
      <c r="F8" s="5">
        <f>(4.22+1.35+3.83+2.61+3.79+3.8+3.78+4.48)/8</f>
        <v>3.4825000000000004</v>
      </c>
      <c r="G8" s="25">
        <v>8</v>
      </c>
      <c r="I8" s="6" t="s">
        <v>22</v>
      </c>
      <c r="J8" s="7">
        <v>4.91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(5.39+4.98+4.48)/3</f>
        <v>4.95</v>
      </c>
      <c r="G9" s="26">
        <v>3</v>
      </c>
      <c r="I9" s="6" t="s">
        <v>25</v>
      </c>
      <c r="J9" s="7">
        <v>5.27</v>
      </c>
    </row>
    <row r="10" spans="1:10" x14ac:dyDescent="0.2">
      <c r="A10" s="4" t="s">
        <v>23</v>
      </c>
      <c r="B10" s="9" t="s">
        <v>14</v>
      </c>
      <c r="C10" s="26">
        <v>0</v>
      </c>
      <c r="E10" s="4" t="s">
        <v>24</v>
      </c>
      <c r="F10" s="9">
        <f>(3.2+2.77+3.6+2.92)/4</f>
        <v>3.1225000000000001</v>
      </c>
      <c r="G10" s="26">
        <v>4</v>
      </c>
      <c r="I10" s="6" t="s">
        <v>28</v>
      </c>
      <c r="J10" s="7">
        <v>6.13</v>
      </c>
    </row>
    <row r="11" spans="1:10" x14ac:dyDescent="0.2">
      <c r="A11" s="4" t="s">
        <v>26</v>
      </c>
      <c r="B11" s="5">
        <f>(5.2+4.51)/2</f>
        <v>4.8550000000000004</v>
      </c>
      <c r="C11" s="25">
        <v>2</v>
      </c>
      <c r="E11" s="4" t="s">
        <v>27</v>
      </c>
      <c r="F11" s="5">
        <f>(5.13+4.69+4.3+5.18+4.47+4.73+4.8)/7</f>
        <v>4.7571428571428571</v>
      </c>
      <c r="G11" s="25">
        <v>7</v>
      </c>
      <c r="I11" s="6" t="s">
        <v>31</v>
      </c>
      <c r="J11" s="7">
        <v>5.51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5.2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4.72</v>
      </c>
    </row>
    <row r="14" spans="1:10" x14ac:dyDescent="0.2">
      <c r="A14" s="4" t="s">
        <v>35</v>
      </c>
      <c r="B14" s="9">
        <v>2.4</v>
      </c>
      <c r="C14" s="26">
        <v>1</v>
      </c>
      <c r="E14" s="4" t="s">
        <v>36</v>
      </c>
      <c r="F14" s="9">
        <f>(5.52+5.17+5.07+5.66+5.7+5.64+4.93+5.96+5.5+7.04+6.16+5.17+5.12+5.78+6.29+5.16+5.47+5.59+6.66+3.87+5.02+4.65+5.37+5.2+5.93+3.97+5.61)/27</f>
        <v>5.4522222222222236</v>
      </c>
      <c r="G14" s="26">
        <v>27</v>
      </c>
      <c r="I14" s="6" t="s">
        <v>40</v>
      </c>
      <c r="J14" s="7">
        <v>5.33</v>
      </c>
    </row>
    <row r="15" spans="1:10" x14ac:dyDescent="0.2">
      <c r="A15" s="4" t="s">
        <v>38</v>
      </c>
      <c r="B15" s="5">
        <f>(4.37+0)/2</f>
        <v>2.1850000000000001</v>
      </c>
      <c r="C15" s="25">
        <v>2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6.83</v>
      </c>
    </row>
    <row r="16" spans="1:10" x14ac:dyDescent="0.2">
      <c r="A16" s="4" t="s">
        <v>41</v>
      </c>
      <c r="B16" s="5">
        <f>(3.18+0.94+3.02)/3</f>
        <v>2.3800000000000003</v>
      </c>
      <c r="C16" s="25">
        <v>3</v>
      </c>
      <c r="E16" s="4" t="s">
        <v>42</v>
      </c>
      <c r="F16" s="5">
        <v>5.68</v>
      </c>
      <c r="G16" s="25">
        <v>0</v>
      </c>
      <c r="I16" s="6" t="s">
        <v>46</v>
      </c>
      <c r="J16" s="7">
        <v>5.03</v>
      </c>
    </row>
    <row r="17" spans="1:10" x14ac:dyDescent="0.2">
      <c r="A17" s="4" t="s">
        <v>44</v>
      </c>
      <c r="B17" s="9">
        <v>2.84</v>
      </c>
      <c r="C17" s="26">
        <v>1</v>
      </c>
      <c r="E17" s="4" t="s">
        <v>45</v>
      </c>
      <c r="F17" s="9">
        <f>(5.89+5.65+4.73+4.79+5.58+4.73+5.35+8.6+6.4+6.32)/10</f>
        <v>5.8040000000000003</v>
      </c>
      <c r="G17" s="26">
        <v>10</v>
      </c>
      <c r="I17" s="6" t="s">
        <v>49</v>
      </c>
      <c r="J17" s="7">
        <v>4.09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(5.69+6.47+6.06+7.2+5.18+2.29+5.66+5.96+6.62+5.43+7.16+6.64+7.6+7.75+4+5.75+6.7+4.91+4.96+4.24+5.73+5.67+7.56+6.38)/24</f>
        <v>5.9004166666666658</v>
      </c>
      <c r="G18" s="26">
        <v>24</v>
      </c>
      <c r="I18" s="6" t="s">
        <v>52</v>
      </c>
      <c r="J18" s="7">
        <v>4.87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(4.06+2.6+2.76+2.52)/4</f>
        <v>2.9849999999999999</v>
      </c>
      <c r="G19" s="25">
        <v>4</v>
      </c>
      <c r="I19" s="6" t="s">
        <v>55</v>
      </c>
      <c r="J19" s="7">
        <v>4.3499999999999996</v>
      </c>
    </row>
    <row r="20" spans="1:10" x14ac:dyDescent="0.2">
      <c r="A20" s="4" t="s">
        <v>53</v>
      </c>
      <c r="B20" s="24">
        <f>(3.49+3.45+3.89+3.39+4.18)/5</f>
        <v>3.6799999999999997</v>
      </c>
      <c r="C20" s="30">
        <v>5</v>
      </c>
      <c r="E20" s="4" t="s">
        <v>54</v>
      </c>
      <c r="F20" s="5">
        <f>(2.14+2.27+1.86+1.51)/4</f>
        <v>1.9450000000000001</v>
      </c>
      <c r="G20" s="25">
        <v>4</v>
      </c>
      <c r="I20" s="6" t="s">
        <v>58</v>
      </c>
      <c r="J20" s="7">
        <v>4.49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(5.97+8.26+6.13+5.48+7+5.52+5.21+4.94+0)/9</f>
        <v>5.39</v>
      </c>
      <c r="G21" s="26">
        <v>9</v>
      </c>
      <c r="I21" s="6" t="s">
        <v>62</v>
      </c>
      <c r="J21" s="7">
        <v>5.0599999999999996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65</v>
      </c>
      <c r="J22" s="7">
        <v>5.08</v>
      </c>
    </row>
    <row r="23" spans="1:10" ht="15.75" customHeight="1" x14ac:dyDescent="0.2">
      <c r="A23" s="4" t="s">
        <v>63</v>
      </c>
      <c r="B23" s="5">
        <v>4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4.7300000000000004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4.66</v>
      </c>
    </row>
    <row r="25" spans="1:10" ht="15.75" customHeight="1" x14ac:dyDescent="0.2">
      <c r="A25" s="4" t="s">
        <v>69</v>
      </c>
      <c r="B25" s="9">
        <f>(5.35+5.01+5.57)/3</f>
        <v>5.31</v>
      </c>
      <c r="C25" s="26">
        <v>3</v>
      </c>
      <c r="E25" s="4" t="s">
        <v>70</v>
      </c>
      <c r="F25" s="9">
        <f>(2.54+2.01)/2</f>
        <v>2.2749999999999999</v>
      </c>
      <c r="G25" s="26">
        <v>2</v>
      </c>
      <c r="I25" s="6" t="s">
        <v>74</v>
      </c>
      <c r="J25" s="7">
        <v>6.18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v>1.92</v>
      </c>
      <c r="G26" s="26">
        <v>1</v>
      </c>
      <c r="I26" s="6" t="s">
        <v>77</v>
      </c>
      <c r="J26" s="7">
        <v>6.08</v>
      </c>
    </row>
    <row r="27" spans="1:10" ht="15.75" customHeight="1" x14ac:dyDescent="0.2">
      <c r="A27" s="4" t="s">
        <v>75</v>
      </c>
      <c r="B27" s="5">
        <v>1.78</v>
      </c>
      <c r="C27" s="25">
        <v>1</v>
      </c>
      <c r="E27" s="4" t="s">
        <v>76</v>
      </c>
      <c r="F27" s="5">
        <f>(4.46+3.7+3.83+4.38+4.17+3.68)/6</f>
        <v>4.0366666666666662</v>
      </c>
      <c r="G27" s="25">
        <v>6</v>
      </c>
      <c r="I27" s="6" t="s">
        <v>80</v>
      </c>
      <c r="J27" s="7">
        <v>4.72</v>
      </c>
    </row>
    <row r="28" spans="1:10" ht="15.75" customHeight="1" x14ac:dyDescent="0.2">
      <c r="A28" s="4" t="s">
        <v>78</v>
      </c>
      <c r="B28" s="5">
        <f>(5.41+5.61+4.67+5.5+3.82+6.62+6.99)/7</f>
        <v>5.5171428571428569</v>
      </c>
      <c r="C28" s="25">
        <v>7</v>
      </c>
      <c r="E28" s="4" t="s">
        <v>79</v>
      </c>
      <c r="F28" s="5">
        <f>(3.28+3.73+4.08+3.83+3.39+3.75+4.29+3.53+3.32+1.15+3.31+3.26+3.2+3.38+3.37+3.17)/16</f>
        <v>3.3774999999999999</v>
      </c>
      <c r="G28" s="25">
        <v>16</v>
      </c>
      <c r="I28" s="6" t="s">
        <v>83</v>
      </c>
      <c r="J28" s="7">
        <v>4.3</v>
      </c>
    </row>
    <row r="29" spans="1:10" ht="15.75" customHeight="1" x14ac:dyDescent="0.2">
      <c r="A29" s="4" t="s">
        <v>81</v>
      </c>
      <c r="B29" s="9">
        <f>(2.9+2.76+2.51+2.21)/4</f>
        <v>2.5949999999999998</v>
      </c>
      <c r="C29" s="26">
        <v>4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5.68</v>
      </c>
    </row>
    <row r="30" spans="1:10" ht="15.75" customHeight="1" x14ac:dyDescent="0.2">
      <c r="A30" s="4" t="s">
        <v>84</v>
      </c>
      <c r="B30" s="9">
        <f>(4.13+4.41)/2</f>
        <v>4.2699999999999996</v>
      </c>
      <c r="C30" s="26">
        <v>2</v>
      </c>
      <c r="E30" s="4" t="s">
        <v>85</v>
      </c>
      <c r="F30" s="9">
        <f>(3.39+2.94)/2</f>
        <v>3.165</v>
      </c>
      <c r="G30" s="26">
        <v>2</v>
      </c>
      <c r="I30" s="6" t="s">
        <v>89</v>
      </c>
      <c r="J30" s="7">
        <v>4.8499999999999996</v>
      </c>
    </row>
    <row r="31" spans="1:10" ht="15.75" customHeight="1" x14ac:dyDescent="0.2">
      <c r="A31" s="4" t="s">
        <v>87</v>
      </c>
      <c r="B31" s="5">
        <f>(4.02+4.81)/2</f>
        <v>4.4149999999999991</v>
      </c>
      <c r="C31" s="25">
        <v>2</v>
      </c>
      <c r="E31" s="4" t="s">
        <v>88</v>
      </c>
      <c r="F31" s="5">
        <f>(2.42+0.7)/2</f>
        <v>1.56</v>
      </c>
      <c r="G31" s="25">
        <v>2</v>
      </c>
      <c r="I31" s="6" t="s">
        <v>91</v>
      </c>
      <c r="J31" s="7">
        <v>4.8600000000000003</v>
      </c>
    </row>
    <row r="32" spans="1:10" ht="15.75" customHeight="1" x14ac:dyDescent="0.2">
      <c r="A32" s="4" t="s">
        <v>65</v>
      </c>
      <c r="B32" s="5">
        <v>0.03</v>
      </c>
      <c r="C32" s="25">
        <v>1</v>
      </c>
      <c r="E32" s="4" t="s">
        <v>90</v>
      </c>
      <c r="F32" s="5">
        <f>(4.79+2.9+4.01+2.64+4.25)/5</f>
        <v>3.718</v>
      </c>
      <c r="G32" s="25">
        <v>5</v>
      </c>
      <c r="I32" s="6" t="s">
        <v>94</v>
      </c>
      <c r="J32" s="7">
        <v>7.58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(3.72+3.85)/2</f>
        <v>3.7850000000000001</v>
      </c>
      <c r="G33" s="26">
        <v>2</v>
      </c>
      <c r="I33" s="6" t="s">
        <v>97</v>
      </c>
      <c r="J33" s="7">
        <v>4.45</v>
      </c>
    </row>
    <row r="34" spans="1:10" ht="15.75" customHeight="1" x14ac:dyDescent="0.2">
      <c r="A34" s="4" t="s">
        <v>95</v>
      </c>
      <c r="B34" s="9">
        <v>6.93</v>
      </c>
      <c r="C34" s="26">
        <v>1</v>
      </c>
      <c r="E34" s="4" t="s">
        <v>96</v>
      </c>
      <c r="F34" s="9">
        <v>3.69</v>
      </c>
      <c r="G34" s="26">
        <v>1</v>
      </c>
      <c r="I34" s="6" t="s">
        <v>100</v>
      </c>
      <c r="J34" s="7">
        <v>6.03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(3.17+1.57)/2</f>
        <v>2.37</v>
      </c>
      <c r="G35" s="25">
        <v>2</v>
      </c>
      <c r="I35" s="6" t="s">
        <v>103</v>
      </c>
      <c r="J35" s="7">
        <v>5.09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(6.16+5.03+5.72)/3</f>
        <v>5.6366666666666667</v>
      </c>
      <c r="G36" s="25">
        <v>3</v>
      </c>
      <c r="I36" s="6" t="s">
        <v>105</v>
      </c>
      <c r="J36" s="7">
        <v>4.91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5.49</v>
      </c>
    </row>
    <row r="38" spans="1:10" ht="15.75" customHeight="1" x14ac:dyDescent="0.2">
      <c r="I38" s="6" t="s">
        <v>107</v>
      </c>
      <c r="J38" s="7">
        <v>5.14</v>
      </c>
    </row>
    <row r="39" spans="1:10" ht="15.75" customHeight="1" x14ac:dyDescent="0.2">
      <c r="I39" s="6" t="s">
        <v>108</v>
      </c>
      <c r="J39" s="7">
        <v>5.07</v>
      </c>
    </row>
    <row r="40" spans="1:10" ht="15.75" customHeight="1" x14ac:dyDescent="0.2">
      <c r="I40" s="6" t="s">
        <v>109</v>
      </c>
      <c r="J40" s="7">
        <v>4.8499999999999996</v>
      </c>
    </row>
    <row r="41" spans="1:10" ht="15.75" customHeight="1" x14ac:dyDescent="0.2">
      <c r="I41" s="6" t="s">
        <v>110</v>
      </c>
      <c r="J41" s="7">
        <v>4.67</v>
      </c>
    </row>
    <row r="42" spans="1:10" ht="15.75" customHeight="1" x14ac:dyDescent="0.2">
      <c r="I42" s="6" t="s">
        <v>111</v>
      </c>
      <c r="J42" s="7">
        <v>5.1100000000000003</v>
      </c>
    </row>
    <row r="43" spans="1:10" ht="15.75" customHeight="1" x14ac:dyDescent="0.2">
      <c r="I43" s="6" t="s">
        <v>112</v>
      </c>
      <c r="J43" s="7">
        <v>5.56</v>
      </c>
    </row>
    <row r="44" spans="1:10" ht="15.75" customHeight="1" x14ac:dyDescent="0.2">
      <c r="I44" s="6" t="s">
        <v>113</v>
      </c>
      <c r="J44" s="7">
        <v>4.8499999999999996</v>
      </c>
    </row>
    <row r="45" spans="1:10" ht="15.75" customHeight="1" x14ac:dyDescent="0.2">
      <c r="I45" s="6" t="s">
        <v>114</v>
      </c>
      <c r="J45" s="7">
        <v>4.74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tabSelected="1" workbookViewId="0">
      <selection activeCell="AB30" sqref="AB30"/>
    </sheetView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6.3320312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115</v>
      </c>
      <c r="B2" s="32"/>
      <c r="C2" s="32"/>
      <c r="D2" s="32"/>
      <c r="E2" s="32"/>
      <c r="F2" s="32"/>
      <c r="G2" s="32"/>
      <c r="H2" s="32"/>
    </row>
    <row r="3" spans="1:10" ht="14.25" customHeight="1" x14ac:dyDescent="0.2">
      <c r="B3" s="3" t="s">
        <v>2</v>
      </c>
      <c r="C3" s="1" t="s">
        <v>3</v>
      </c>
      <c r="F3" s="3" t="s">
        <v>2</v>
      </c>
      <c r="G3" s="1" t="s">
        <v>3</v>
      </c>
    </row>
    <row r="4" spans="1:10" ht="27.75" customHeight="1" x14ac:dyDescent="0.2">
      <c r="A4" s="4" t="s">
        <v>4</v>
      </c>
      <c r="B4" s="15">
        <v>5.71</v>
      </c>
      <c r="C4" s="16">
        <v>1</v>
      </c>
      <c r="E4" s="4" t="s">
        <v>5</v>
      </c>
      <c r="F4" s="17">
        <f>(8.44+6.35)/2</f>
        <v>7.3949999999999996</v>
      </c>
      <c r="G4" s="16">
        <v>2</v>
      </c>
      <c r="I4" s="8" t="s">
        <v>116</v>
      </c>
    </row>
    <row r="5" spans="1:10" x14ac:dyDescent="0.2">
      <c r="A5" s="4" t="s">
        <v>7</v>
      </c>
      <c r="B5" s="18">
        <f>(2.07+3.73+2.86+2.81+3.56+2.92+1.75+3.58+2.31+2.34+2.57+1.35+2.63+3.22+3.69+1.42+3.47+2.46+3.38+3.8+2.14+2.57+2.28+3.61+2.2+1.83+3.59+3.57+3.06+2.62+4.52+3.33+2.91+3.36+3.21)/35</f>
        <v>2.8777142857142857</v>
      </c>
      <c r="C5" s="19">
        <v>35</v>
      </c>
      <c r="E5" s="4" t="s">
        <v>8</v>
      </c>
      <c r="F5" s="18">
        <f>(4.44+4.56+4.91+4.27+3.54+3.97)/6</f>
        <v>4.2816666666666663</v>
      </c>
      <c r="G5" s="19">
        <v>6</v>
      </c>
      <c r="I5" s="6" t="s">
        <v>9</v>
      </c>
      <c r="J5" s="7">
        <v>5.12</v>
      </c>
    </row>
    <row r="6" spans="1:10" x14ac:dyDescent="0.2">
      <c r="A6" s="4" t="s">
        <v>10</v>
      </c>
      <c r="B6" s="18">
        <f>(2.83+3.91)/2</f>
        <v>3.37</v>
      </c>
      <c r="C6" s="19">
        <v>2</v>
      </c>
      <c r="E6" s="4" t="s">
        <v>11</v>
      </c>
      <c r="F6" s="18">
        <f>(4.85+5.92+5.72+6.16+6.63+5.86+6.61+1.13+6.3+6.15+6+5.1+5.66+6.62+5.2+5.68+3)/17</f>
        <v>5.446470588235294</v>
      </c>
      <c r="G6" s="19">
        <v>17</v>
      </c>
      <c r="I6" s="6" t="s">
        <v>12</v>
      </c>
      <c r="J6" s="7">
        <v>5.0599999999999996</v>
      </c>
    </row>
    <row r="7" spans="1:10" x14ac:dyDescent="0.2">
      <c r="A7" s="4" t="s">
        <v>13</v>
      </c>
      <c r="B7" s="15" t="s">
        <v>14</v>
      </c>
      <c r="C7" s="16">
        <v>0</v>
      </c>
      <c r="E7" s="4" t="s">
        <v>15</v>
      </c>
      <c r="F7" s="17">
        <v>5.86</v>
      </c>
      <c r="G7" s="16">
        <v>1</v>
      </c>
      <c r="I7" s="6" t="s">
        <v>16</v>
      </c>
      <c r="J7" s="7">
        <v>5.12</v>
      </c>
    </row>
    <row r="8" spans="1:10" x14ac:dyDescent="0.2">
      <c r="A8" s="4" t="s">
        <v>17</v>
      </c>
      <c r="B8" s="15">
        <f>(5.41+8.27+5.46+3.34+5.65+6.51)/6</f>
        <v>5.7733333333333334</v>
      </c>
      <c r="C8" s="16">
        <v>6</v>
      </c>
      <c r="E8" s="4" t="s">
        <v>18</v>
      </c>
      <c r="F8" s="17">
        <f>(5.86+5.58+4.13+4.99+4.79+4.61+4.53+4.94)/8</f>
        <v>4.92875</v>
      </c>
      <c r="G8" s="16">
        <v>8</v>
      </c>
      <c r="I8" s="6" t="s">
        <v>19</v>
      </c>
      <c r="J8" s="7">
        <v>5.18</v>
      </c>
    </row>
    <row r="9" spans="1:10" x14ac:dyDescent="0.2">
      <c r="A9" s="4" t="s">
        <v>20</v>
      </c>
      <c r="B9" s="18" t="s">
        <v>14</v>
      </c>
      <c r="C9" s="19">
        <v>0</v>
      </c>
      <c r="E9" s="4" t="s">
        <v>21</v>
      </c>
      <c r="F9" s="18">
        <f>(4.98+5.99+6.85)/3</f>
        <v>5.94</v>
      </c>
      <c r="G9" s="19">
        <v>3</v>
      </c>
      <c r="I9" s="6" t="s">
        <v>22</v>
      </c>
      <c r="J9" s="7">
        <v>5.09</v>
      </c>
    </row>
    <row r="10" spans="1:10" x14ac:dyDescent="0.2">
      <c r="A10" s="4" t="s">
        <v>23</v>
      </c>
      <c r="B10" s="18">
        <v>2.69</v>
      </c>
      <c r="C10" s="19">
        <v>1</v>
      </c>
      <c r="E10" s="4" t="s">
        <v>24</v>
      </c>
      <c r="F10" s="18">
        <f>(6.19+7.41+7.21+9.43+9.33)/5</f>
        <v>7.9139999999999997</v>
      </c>
      <c r="G10" s="19">
        <v>5</v>
      </c>
      <c r="I10" s="6" t="s">
        <v>25</v>
      </c>
      <c r="J10" s="7">
        <v>5.63</v>
      </c>
    </row>
    <row r="11" spans="1:10" x14ac:dyDescent="0.2">
      <c r="A11" s="4" t="s">
        <v>26</v>
      </c>
      <c r="B11" s="15">
        <f>(5.55+4.3)/2</f>
        <v>4.9249999999999998</v>
      </c>
      <c r="C11" s="16">
        <v>2</v>
      </c>
      <c r="E11" s="4" t="s">
        <v>27</v>
      </c>
      <c r="F11" s="17">
        <f>(5.78+4.96+4.38+4.47+5.52+4.74+5.33+5.12)/8</f>
        <v>5.0374999999999996</v>
      </c>
      <c r="G11" s="16">
        <v>8</v>
      </c>
      <c r="I11" s="6" t="s">
        <v>28</v>
      </c>
      <c r="J11" s="7">
        <v>5.51</v>
      </c>
    </row>
    <row r="12" spans="1:10" x14ac:dyDescent="0.2">
      <c r="A12" s="4" t="s">
        <v>29</v>
      </c>
      <c r="B12" s="15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31</v>
      </c>
      <c r="J12" s="7">
        <v>5.18</v>
      </c>
    </row>
    <row r="13" spans="1:10" x14ac:dyDescent="0.2">
      <c r="A13" s="4" t="s">
        <v>32</v>
      </c>
      <c r="B13" s="18" t="s">
        <v>14</v>
      </c>
      <c r="C13" s="19">
        <v>0</v>
      </c>
      <c r="E13" s="4" t="s">
        <v>33</v>
      </c>
      <c r="F13" s="18" t="s">
        <v>14</v>
      </c>
      <c r="G13" s="19">
        <v>0</v>
      </c>
      <c r="I13" s="6" t="s">
        <v>34</v>
      </c>
      <c r="J13" s="7">
        <v>4.8499999999999996</v>
      </c>
    </row>
    <row r="14" spans="1:10" x14ac:dyDescent="0.2">
      <c r="A14" s="4" t="s">
        <v>35</v>
      </c>
      <c r="B14" s="18">
        <v>6.01</v>
      </c>
      <c r="C14" s="19">
        <v>1</v>
      </c>
      <c r="E14" s="4" t="s">
        <v>36</v>
      </c>
      <c r="F14" s="18">
        <f>(4.25+5.3+4.79+4.14+6.56+3.98+4.73+8.62+6.39+4.45+4.45+4.43+5.1+4.37+5.02+4.43+5.4+4.35+5.64+4.26+4.73+4.49+4.47+4.2+4.26+4.69)/26</f>
        <v>4.9038461538461542</v>
      </c>
      <c r="G14" s="19">
        <v>26</v>
      </c>
      <c r="I14" s="6" t="s">
        <v>37</v>
      </c>
      <c r="J14" s="7">
        <v>5.24</v>
      </c>
    </row>
    <row r="15" spans="1:10" x14ac:dyDescent="0.2">
      <c r="A15" s="4" t="s">
        <v>38</v>
      </c>
      <c r="B15" s="15">
        <v>3.76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40</v>
      </c>
      <c r="J15" s="7">
        <v>5.42</v>
      </c>
    </row>
    <row r="16" spans="1:10" x14ac:dyDescent="0.2">
      <c r="A16" s="4" t="s">
        <v>41</v>
      </c>
      <c r="B16" s="15">
        <f>(5.16+4)/2</f>
        <v>4.58</v>
      </c>
      <c r="C16" s="16">
        <v>2</v>
      </c>
      <c r="E16" s="4" t="s">
        <v>42</v>
      </c>
      <c r="F16" s="17">
        <v>7.77</v>
      </c>
      <c r="G16" s="16">
        <v>1</v>
      </c>
      <c r="I16" s="6" t="s">
        <v>43</v>
      </c>
      <c r="J16" s="7">
        <v>5.66</v>
      </c>
    </row>
    <row r="17" spans="1:10" x14ac:dyDescent="0.2">
      <c r="A17" s="4" t="s">
        <v>44</v>
      </c>
      <c r="B17" s="18">
        <v>4.4800000000000004</v>
      </c>
      <c r="C17" s="19">
        <v>1</v>
      </c>
      <c r="E17" s="4" t="s">
        <v>45</v>
      </c>
      <c r="F17" s="18">
        <f>(4.47+5.28+5.52+4.92+4.05+4.54+4.19+4.8+4.91+4.16)/10</f>
        <v>4.6839999999999993</v>
      </c>
      <c r="G17" s="19">
        <v>10</v>
      </c>
      <c r="I17" s="6" t="s">
        <v>46</v>
      </c>
      <c r="J17" s="7">
        <v>4.95</v>
      </c>
    </row>
    <row r="18" spans="1:10" x14ac:dyDescent="0.2">
      <c r="A18" s="4" t="s">
        <v>47</v>
      </c>
      <c r="B18" s="18" t="s">
        <v>14</v>
      </c>
      <c r="C18" s="19">
        <v>0</v>
      </c>
      <c r="E18" s="4" t="s">
        <v>48</v>
      </c>
      <c r="F18" s="18">
        <f>(3.05+1.98+1.92+1.83+1.52+3.66+3.32+2.75+0.47+4.29+2.78+3.18+2.98+2.43+2.69+1.47+2.35+2.58+2.51+2.2+2.29+3.25+1.95+3.18)/24</f>
        <v>2.5262499999999997</v>
      </c>
      <c r="G18" s="19">
        <v>24</v>
      </c>
      <c r="I18" s="6" t="s">
        <v>49</v>
      </c>
      <c r="J18" s="7">
        <v>4.7300000000000004</v>
      </c>
    </row>
    <row r="19" spans="1:10" x14ac:dyDescent="0.2">
      <c r="A19" s="4" t="s">
        <v>50</v>
      </c>
      <c r="B19" s="15" t="s">
        <v>14</v>
      </c>
      <c r="C19" s="16">
        <v>0</v>
      </c>
      <c r="E19" s="4" t="s">
        <v>51</v>
      </c>
      <c r="F19" s="17">
        <f>(1.29+1.4+2.57+1.77)/4</f>
        <v>1.7574999999999998</v>
      </c>
      <c r="G19" s="16">
        <v>4</v>
      </c>
      <c r="I19" s="6" t="s">
        <v>52</v>
      </c>
      <c r="J19" s="7">
        <v>5.37</v>
      </c>
    </row>
    <row r="20" spans="1:10" x14ac:dyDescent="0.2">
      <c r="A20" s="4" t="s">
        <v>53</v>
      </c>
      <c r="B20" s="15">
        <f>(6.6+5.61+5.58+7.15+5.16)/5</f>
        <v>6.02</v>
      </c>
      <c r="C20" s="16">
        <v>5</v>
      </c>
      <c r="E20" s="4" t="s">
        <v>54</v>
      </c>
      <c r="F20" s="17">
        <f>(6.44+6.11+7.36+6.53)/4</f>
        <v>6.61</v>
      </c>
      <c r="G20" s="16">
        <v>4</v>
      </c>
      <c r="I20" s="6" t="s">
        <v>55</v>
      </c>
      <c r="J20" s="7">
        <v>5.19</v>
      </c>
    </row>
    <row r="21" spans="1:10" ht="15.75" customHeight="1" x14ac:dyDescent="0.2">
      <c r="A21" s="4" t="s">
        <v>56</v>
      </c>
      <c r="B21" s="18" t="s">
        <v>14</v>
      </c>
      <c r="C21" s="19">
        <v>0</v>
      </c>
      <c r="E21" s="4" t="s">
        <v>57</v>
      </c>
      <c r="F21" s="18">
        <f>(4.94+5.33+4.92+4.45+5.83+5.27+5.35+5.62+4.93)/9</f>
        <v>5.1822222222222214</v>
      </c>
      <c r="G21" s="19">
        <v>9</v>
      </c>
      <c r="I21" s="6" t="s">
        <v>58</v>
      </c>
      <c r="J21" s="7">
        <v>4.3600000000000003</v>
      </c>
    </row>
    <row r="22" spans="1:10" ht="15.75" customHeight="1" x14ac:dyDescent="0.2">
      <c r="A22" s="4" t="s">
        <v>59</v>
      </c>
      <c r="B22" s="18" t="s">
        <v>14</v>
      </c>
      <c r="C22" s="19">
        <v>0</v>
      </c>
      <c r="E22" s="4" t="s">
        <v>60</v>
      </c>
      <c r="F22" s="18" t="s">
        <v>14</v>
      </c>
      <c r="G22" s="19">
        <v>0</v>
      </c>
      <c r="I22" s="6" t="s">
        <v>62</v>
      </c>
      <c r="J22" s="7">
        <v>5.57</v>
      </c>
    </row>
    <row r="23" spans="1:10" ht="15.75" customHeight="1" x14ac:dyDescent="0.2">
      <c r="A23" s="4" t="s">
        <v>63</v>
      </c>
      <c r="B23" s="15">
        <v>1.47</v>
      </c>
      <c r="C23" s="16">
        <v>1</v>
      </c>
      <c r="E23" s="4" t="s">
        <v>64</v>
      </c>
      <c r="F23" s="17" t="s">
        <v>14</v>
      </c>
      <c r="G23" s="16">
        <v>0</v>
      </c>
      <c r="I23" s="6" t="s">
        <v>65</v>
      </c>
      <c r="J23" s="7">
        <v>5.75</v>
      </c>
    </row>
    <row r="24" spans="1:10" ht="15.75" customHeight="1" x14ac:dyDescent="0.2">
      <c r="A24" s="4" t="s">
        <v>66</v>
      </c>
      <c r="B24" s="15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68</v>
      </c>
      <c r="J24" s="7">
        <v>5.32</v>
      </c>
    </row>
    <row r="25" spans="1:10" ht="15.75" customHeight="1" x14ac:dyDescent="0.2">
      <c r="A25" s="4" t="s">
        <v>69</v>
      </c>
      <c r="B25" s="18">
        <f>(6.21+4.2+5.85)/3</f>
        <v>5.419999999999999</v>
      </c>
      <c r="C25" s="19">
        <v>3</v>
      </c>
      <c r="E25" s="4" t="s">
        <v>70</v>
      </c>
      <c r="F25" s="18">
        <f>(6.33+3.18)/2</f>
        <v>4.7549999999999999</v>
      </c>
      <c r="G25" s="19">
        <v>2</v>
      </c>
      <c r="I25" s="6" t="s">
        <v>71</v>
      </c>
      <c r="J25" s="7">
        <v>5.32</v>
      </c>
    </row>
    <row r="26" spans="1:10" ht="15.75" customHeight="1" x14ac:dyDescent="0.2">
      <c r="A26" s="4" t="s">
        <v>72</v>
      </c>
      <c r="B26" s="18" t="s">
        <v>14</v>
      </c>
      <c r="C26" s="19">
        <v>0</v>
      </c>
      <c r="E26" s="4" t="s">
        <v>73</v>
      </c>
      <c r="F26" s="18">
        <v>4.1900000000000004</v>
      </c>
      <c r="G26" s="19">
        <v>1</v>
      </c>
      <c r="I26" s="6" t="s">
        <v>74</v>
      </c>
      <c r="J26" s="7">
        <v>5.36</v>
      </c>
    </row>
    <row r="27" spans="1:10" ht="15.75" customHeight="1" x14ac:dyDescent="0.2">
      <c r="A27" s="4" t="s">
        <v>75</v>
      </c>
      <c r="B27" s="15">
        <v>4.37</v>
      </c>
      <c r="C27" s="16">
        <v>1</v>
      </c>
      <c r="E27" s="4" t="s">
        <v>76</v>
      </c>
      <c r="F27" s="17">
        <f>(4.89+4.86+4.29+5.65+6.42+4.78)/6</f>
        <v>5.1483333333333334</v>
      </c>
      <c r="G27" s="16">
        <v>6</v>
      </c>
      <c r="I27" s="6" t="s">
        <v>77</v>
      </c>
      <c r="J27" s="7">
        <v>5.77</v>
      </c>
    </row>
    <row r="28" spans="1:10" ht="15.75" customHeight="1" x14ac:dyDescent="0.2">
      <c r="A28" s="4" t="s">
        <v>78</v>
      </c>
      <c r="B28" s="15">
        <f>(4.08+4.1+3.16+5.97+4.76+4.49+4.56)/7</f>
        <v>4.4457142857142857</v>
      </c>
      <c r="C28" s="16">
        <v>7</v>
      </c>
      <c r="E28" s="4" t="s">
        <v>79</v>
      </c>
      <c r="F28" s="17">
        <f>(5.09+5.29+5.98+5.95+6.16+5.8+6.52+5.97+6.12+5.56+5.56+6+6.99+5.93+5.83+6.31+6.16+6.18)/18</f>
        <v>5.966666666666665</v>
      </c>
      <c r="G28" s="16">
        <v>18</v>
      </c>
      <c r="I28" s="6" t="s">
        <v>80</v>
      </c>
      <c r="J28" s="7">
        <v>5.62</v>
      </c>
    </row>
    <row r="29" spans="1:10" ht="15.75" customHeight="1" x14ac:dyDescent="0.2">
      <c r="A29" s="4" t="s">
        <v>81</v>
      </c>
      <c r="B29" s="18">
        <f>(5+5.03+4.64+4.28)/4</f>
        <v>4.7375000000000007</v>
      </c>
      <c r="C29" s="19">
        <v>4</v>
      </c>
      <c r="E29" s="4" t="s">
        <v>82</v>
      </c>
      <c r="F29" s="18" t="s">
        <v>14</v>
      </c>
      <c r="G29" s="19">
        <v>0</v>
      </c>
      <c r="I29" s="6" t="s">
        <v>83</v>
      </c>
      <c r="J29" s="7">
        <v>4.5199999999999996</v>
      </c>
    </row>
    <row r="30" spans="1:10" ht="15.75" customHeight="1" x14ac:dyDescent="0.2">
      <c r="A30" s="4" t="s">
        <v>84</v>
      </c>
      <c r="B30" s="18">
        <f>(1.52+1.09)/2</f>
        <v>1.3050000000000002</v>
      </c>
      <c r="C30" s="19">
        <v>2</v>
      </c>
      <c r="E30" s="4" t="s">
        <v>85</v>
      </c>
      <c r="F30" s="18">
        <f>(5.64+3.98)/2</f>
        <v>4.8099999999999996</v>
      </c>
      <c r="G30" s="19">
        <v>2</v>
      </c>
      <c r="I30" s="6" t="s">
        <v>86</v>
      </c>
      <c r="J30" s="7">
        <v>5.18</v>
      </c>
    </row>
    <row r="31" spans="1:10" ht="15.75" customHeight="1" x14ac:dyDescent="0.2">
      <c r="A31" s="4" t="s">
        <v>87</v>
      </c>
      <c r="B31" s="15">
        <f>(4.65+7.13)/2</f>
        <v>5.8900000000000006</v>
      </c>
      <c r="C31" s="16">
        <v>2</v>
      </c>
      <c r="E31" s="4" t="s">
        <v>88</v>
      </c>
      <c r="F31" s="17">
        <f>(7.04+4.66)/2</f>
        <v>5.85</v>
      </c>
      <c r="G31" s="16">
        <v>2</v>
      </c>
      <c r="I31" s="6" t="s">
        <v>89</v>
      </c>
      <c r="J31" s="7">
        <v>5.55</v>
      </c>
    </row>
    <row r="32" spans="1:10" ht="15.75" customHeight="1" x14ac:dyDescent="0.2">
      <c r="A32" s="4" t="s">
        <v>65</v>
      </c>
      <c r="B32" s="15">
        <f>(0.94+8.67)/2</f>
        <v>4.8049999999999997</v>
      </c>
      <c r="C32" s="16">
        <v>2</v>
      </c>
      <c r="E32" s="4" t="s">
        <v>90</v>
      </c>
      <c r="F32" s="17">
        <f>(6.99+5.15+5.82+5.74+7.83+5.45)/6</f>
        <v>6.163333333333334</v>
      </c>
      <c r="G32" s="16">
        <v>6</v>
      </c>
      <c r="I32" s="6" t="s">
        <v>91</v>
      </c>
      <c r="J32" s="7">
        <v>5.07</v>
      </c>
    </row>
    <row r="33" spans="1:10" ht="15.75" customHeight="1" x14ac:dyDescent="0.2">
      <c r="A33" s="4" t="s">
        <v>92</v>
      </c>
      <c r="B33" s="18" t="s">
        <v>14</v>
      </c>
      <c r="C33" s="19">
        <v>0</v>
      </c>
      <c r="E33" s="4" t="s">
        <v>93</v>
      </c>
      <c r="F33" s="18">
        <f>(7.15+6.25)/2</f>
        <v>6.7</v>
      </c>
      <c r="G33" s="19">
        <v>2</v>
      </c>
      <c r="I33" s="6" t="s">
        <v>94</v>
      </c>
      <c r="J33" s="7">
        <v>5.2</v>
      </c>
    </row>
    <row r="34" spans="1:10" ht="15.75" customHeight="1" x14ac:dyDescent="0.2">
      <c r="A34" s="4" t="s">
        <v>95</v>
      </c>
      <c r="B34" s="18">
        <v>5.97</v>
      </c>
      <c r="C34" s="19">
        <v>1</v>
      </c>
      <c r="E34" s="4" t="s">
        <v>96</v>
      </c>
      <c r="F34" s="18">
        <v>3.24</v>
      </c>
      <c r="G34" s="19">
        <v>1</v>
      </c>
      <c r="I34" s="6" t="s">
        <v>97</v>
      </c>
      <c r="J34" s="7">
        <v>5.14</v>
      </c>
    </row>
    <row r="35" spans="1:10" ht="15.75" customHeight="1" x14ac:dyDescent="0.2">
      <c r="A35" s="4" t="s">
        <v>98</v>
      </c>
      <c r="B35" s="15" t="s">
        <v>14</v>
      </c>
      <c r="C35" s="16">
        <v>0</v>
      </c>
      <c r="E35" s="4" t="s">
        <v>99</v>
      </c>
      <c r="F35" s="17">
        <f>(5.75+5.46)/2</f>
        <v>5.6050000000000004</v>
      </c>
      <c r="G35" s="16">
        <v>2</v>
      </c>
      <c r="I35" s="6" t="s">
        <v>100</v>
      </c>
      <c r="J35" s="7">
        <v>4.71</v>
      </c>
    </row>
    <row r="36" spans="1:10" ht="15.75" customHeight="1" x14ac:dyDescent="0.2">
      <c r="A36" s="4" t="s">
        <v>101</v>
      </c>
      <c r="B36" s="15" t="s">
        <v>14</v>
      </c>
      <c r="C36" s="16">
        <v>0</v>
      </c>
      <c r="E36" s="4" t="s">
        <v>102</v>
      </c>
      <c r="F36" s="17">
        <f>(6.75+5.14+5.63)/3</f>
        <v>5.84</v>
      </c>
      <c r="G36" s="16">
        <v>3</v>
      </c>
      <c r="I36" s="6" t="s">
        <v>103</v>
      </c>
      <c r="J36" s="7">
        <v>5.23</v>
      </c>
    </row>
    <row r="37" spans="1:10" ht="15.75" customHeight="1" x14ac:dyDescent="0.2">
      <c r="A37" s="4" t="s">
        <v>104</v>
      </c>
      <c r="B37" s="18" t="s">
        <v>14</v>
      </c>
      <c r="C37" s="19">
        <v>0</v>
      </c>
      <c r="I37" s="6" t="s">
        <v>105</v>
      </c>
      <c r="J37" s="7">
        <v>4.97</v>
      </c>
    </row>
    <row r="38" spans="1:10" ht="15.75" customHeight="1" x14ac:dyDescent="0.2">
      <c r="B38" s="20"/>
      <c r="I38" s="6" t="s">
        <v>106</v>
      </c>
      <c r="J38" s="7">
        <v>5.34</v>
      </c>
    </row>
    <row r="39" spans="1:10" ht="15.75" customHeight="1" x14ac:dyDescent="0.2">
      <c r="B39" s="20"/>
      <c r="I39" s="6" t="s">
        <v>107</v>
      </c>
      <c r="J39" s="7">
        <v>5.24</v>
      </c>
    </row>
    <row r="40" spans="1:10" ht="15.75" customHeight="1" x14ac:dyDescent="0.2">
      <c r="I40" s="6" t="s">
        <v>108</v>
      </c>
      <c r="J40" s="7">
        <v>5.64</v>
      </c>
    </row>
    <row r="41" spans="1:10" ht="15.75" customHeight="1" x14ac:dyDescent="0.2">
      <c r="I41" s="6" t="s">
        <v>109</v>
      </c>
      <c r="J41" s="7">
        <v>5.15</v>
      </c>
    </row>
    <row r="42" spans="1:10" ht="15.75" customHeight="1" x14ac:dyDescent="0.2">
      <c r="I42" s="6" t="s">
        <v>110</v>
      </c>
      <c r="J42" s="7">
        <v>5.19</v>
      </c>
    </row>
    <row r="43" spans="1:10" ht="15.75" customHeight="1" x14ac:dyDescent="0.2">
      <c r="I43" s="6" t="s">
        <v>111</v>
      </c>
      <c r="J43" s="7">
        <v>4.88</v>
      </c>
    </row>
    <row r="44" spans="1:10" ht="15.75" customHeight="1" x14ac:dyDescent="0.2">
      <c r="I44" s="6" t="s">
        <v>112</v>
      </c>
      <c r="J44" s="7">
        <v>5.4</v>
      </c>
    </row>
    <row r="45" spans="1:10" ht="15.75" customHeight="1" x14ac:dyDescent="0.2">
      <c r="I45" s="6" t="s">
        <v>113</v>
      </c>
      <c r="J45" s="7">
        <v>5.16</v>
      </c>
    </row>
    <row r="46" spans="1:10" ht="15.75" customHeight="1" x14ac:dyDescent="0.2">
      <c r="I46" s="6" t="s">
        <v>114</v>
      </c>
      <c r="J46" s="7">
        <v>5.3</v>
      </c>
    </row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117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118</v>
      </c>
    </row>
    <row r="4" spans="1:10" x14ac:dyDescent="0.2">
      <c r="A4" s="4" t="s">
        <v>4</v>
      </c>
      <c r="B4" s="17">
        <v>7.41</v>
      </c>
      <c r="C4" s="16">
        <v>1</v>
      </c>
      <c r="E4" s="4" t="s">
        <v>5</v>
      </c>
      <c r="F4" s="17">
        <f>(6.08+6.4)/2</f>
        <v>6.24</v>
      </c>
      <c r="G4" s="16">
        <v>2</v>
      </c>
      <c r="I4" s="6" t="s">
        <v>9</v>
      </c>
      <c r="J4" s="7">
        <v>6.21</v>
      </c>
    </row>
    <row r="5" spans="1:10" x14ac:dyDescent="0.2">
      <c r="A5" s="4" t="s">
        <v>7</v>
      </c>
      <c r="B5" s="21">
        <f>(4.75+4.26+4.06+5.97+6.36+4.11+5.89+4.34+4.71+4.33+4.61+2.98+4.42+3.6+4.46+4.86+3.82+4.33+3.39+2.7+5.02+2.69+3.86+3.13+3.46+5.29+4.1+4.97+3.8+3.14+3.7+3.62+1.08+4.72+4.09)/35</f>
        <v>4.1319999999999997</v>
      </c>
      <c r="C5" s="22">
        <v>35</v>
      </c>
      <c r="E5" s="4" t="s">
        <v>8</v>
      </c>
      <c r="F5" s="21">
        <f>(6.29+5.91+6.67+6.13+4.88+5.06)/6</f>
        <v>5.8233333333333333</v>
      </c>
      <c r="G5" s="22">
        <v>6</v>
      </c>
      <c r="I5" s="6" t="s">
        <v>12</v>
      </c>
      <c r="J5" s="7">
        <v>6.76</v>
      </c>
    </row>
    <row r="6" spans="1:10" x14ac:dyDescent="0.2">
      <c r="A6" s="4" t="s">
        <v>10</v>
      </c>
      <c r="B6" s="21">
        <f>(0.78+3.86)/2</f>
        <v>2.3199999999999998</v>
      </c>
      <c r="C6" s="22">
        <v>2</v>
      </c>
      <c r="E6" s="4" t="s">
        <v>11</v>
      </c>
      <c r="F6" s="21">
        <f>(6.43+4.59+4.55+6.53+4.65+5.13+2.99+4.42+6.57+4.52+4.18+1.33+6.28+6.77+6.99+1.23+6.77+5.56+4.48)/19</f>
        <v>4.9457894736842105</v>
      </c>
      <c r="G6" s="22">
        <v>19</v>
      </c>
      <c r="I6" s="6" t="s">
        <v>16</v>
      </c>
      <c r="J6" s="7">
        <v>7.09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6.36</v>
      </c>
      <c r="G7" s="16">
        <v>1</v>
      </c>
      <c r="I7" s="6" t="s">
        <v>19</v>
      </c>
      <c r="J7" s="7">
        <v>6.03</v>
      </c>
    </row>
    <row r="8" spans="1:10" x14ac:dyDescent="0.2">
      <c r="A8" s="4" t="s">
        <v>17</v>
      </c>
      <c r="B8" s="17">
        <f>(7.79+7.5+7.91+7.15)/4</f>
        <v>7.5875000000000004</v>
      </c>
      <c r="C8" s="16">
        <v>4</v>
      </c>
      <c r="E8" s="4" t="s">
        <v>18</v>
      </c>
      <c r="F8" s="17">
        <f>(10.68+8.44+6.8+8.44+5.25+2.68+7.64+7.56+7.04)/9</f>
        <v>7.17</v>
      </c>
      <c r="G8" s="16">
        <v>9</v>
      </c>
      <c r="I8" s="6" t="s">
        <v>22</v>
      </c>
      <c r="J8" s="7">
        <v>6.63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(6.72+3.47+6.64+7.68)/4</f>
        <v>6.1274999999999995</v>
      </c>
      <c r="G9" s="22">
        <v>4</v>
      </c>
      <c r="I9" s="6" t="s">
        <v>25</v>
      </c>
      <c r="J9" s="7">
        <v>7.16</v>
      </c>
    </row>
    <row r="10" spans="1:10" x14ac:dyDescent="0.2">
      <c r="A10" s="4" t="s">
        <v>23</v>
      </c>
      <c r="B10" s="21">
        <v>3.79</v>
      </c>
      <c r="C10" s="22">
        <v>1</v>
      </c>
      <c r="E10" s="4" t="s">
        <v>24</v>
      </c>
      <c r="F10" s="21">
        <f t="shared" ref="F10:F11" si="0">(1.57+6.99+6.62+5.67+6.51)/5</f>
        <v>5.4719999999999995</v>
      </c>
      <c r="G10" s="22">
        <v>5</v>
      </c>
      <c r="I10" s="6" t="s">
        <v>28</v>
      </c>
      <c r="J10" s="7">
        <v>5.92</v>
      </c>
    </row>
    <row r="11" spans="1:10" x14ac:dyDescent="0.2">
      <c r="A11" s="4" t="s">
        <v>26</v>
      </c>
      <c r="B11" s="17">
        <f>(8.03+6.27)/2</f>
        <v>7.1499999999999995</v>
      </c>
      <c r="C11" s="16">
        <v>2</v>
      </c>
      <c r="E11" s="4" t="s">
        <v>27</v>
      </c>
      <c r="F11" s="17">
        <f t="shared" si="0"/>
        <v>5.4719999999999995</v>
      </c>
      <c r="G11" s="16">
        <v>5</v>
      </c>
      <c r="I11" s="6" t="s">
        <v>31</v>
      </c>
      <c r="J11" s="7">
        <v>6.54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34</v>
      </c>
      <c r="J12" s="7">
        <v>6.38</v>
      </c>
    </row>
    <row r="13" spans="1:10" x14ac:dyDescent="0.2">
      <c r="A13" s="4" t="s">
        <v>32</v>
      </c>
      <c r="B13" s="21" t="s">
        <v>14</v>
      </c>
      <c r="C13" s="22">
        <v>0</v>
      </c>
      <c r="E13" s="4" t="s">
        <v>33</v>
      </c>
      <c r="F13" s="21">
        <v>0.16</v>
      </c>
      <c r="G13" s="22">
        <v>1</v>
      </c>
      <c r="I13" s="6" t="s">
        <v>37</v>
      </c>
      <c r="J13" s="7">
        <v>6.04</v>
      </c>
    </row>
    <row r="14" spans="1:10" x14ac:dyDescent="0.2">
      <c r="A14" s="4" t="s">
        <v>35</v>
      </c>
      <c r="B14" s="21">
        <v>6.62</v>
      </c>
      <c r="C14" s="22">
        <v>1</v>
      </c>
      <c r="E14" s="4" t="s">
        <v>36</v>
      </c>
      <c r="F14" s="21">
        <f>(5.59+6.46+8.35+6.52+6.3+6.35+7.2+13.75+8.48+9.47+8.48+7.42+8.04+8.37+7.11+7.93+8.72+6.18+7.45+5.87+8.31+7.04)/22</f>
        <v>7.6995454545454542</v>
      </c>
      <c r="G14" s="22">
        <v>22</v>
      </c>
      <c r="I14" s="6" t="s">
        <v>40</v>
      </c>
      <c r="J14" s="7">
        <v>7.39</v>
      </c>
    </row>
    <row r="15" spans="1:10" x14ac:dyDescent="0.2">
      <c r="A15" s="4" t="s">
        <v>38</v>
      </c>
      <c r="B15" s="17">
        <v>7.29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43</v>
      </c>
      <c r="J15" s="7">
        <v>6.37</v>
      </c>
    </row>
    <row r="16" spans="1:10" x14ac:dyDescent="0.2">
      <c r="A16" s="4" t="s">
        <v>41</v>
      </c>
      <c r="B16" s="17">
        <f>(4.09+6.66)/2</f>
        <v>5.375</v>
      </c>
      <c r="C16" s="16">
        <v>2</v>
      </c>
      <c r="E16" s="4" t="s">
        <v>42</v>
      </c>
      <c r="F16" s="17">
        <v>8.35</v>
      </c>
      <c r="G16" s="16">
        <v>1</v>
      </c>
      <c r="I16" s="6" t="s">
        <v>46</v>
      </c>
      <c r="J16" s="7">
        <v>6.28</v>
      </c>
    </row>
    <row r="17" spans="1:10" x14ac:dyDescent="0.2">
      <c r="A17" s="4" t="s">
        <v>44</v>
      </c>
      <c r="B17" s="21">
        <v>10.15</v>
      </c>
      <c r="C17" s="22">
        <v>1</v>
      </c>
      <c r="E17" s="4" t="s">
        <v>45</v>
      </c>
      <c r="F17" s="21">
        <f>(7.21+7.17+7.81+2.83+7.45+5.7+6.59+6.45+6.53+8.5+6.76)/11</f>
        <v>6.6363636363636376</v>
      </c>
      <c r="G17" s="22">
        <v>11</v>
      </c>
      <c r="I17" s="6" t="s">
        <v>49</v>
      </c>
      <c r="J17" s="7">
        <v>6.18</v>
      </c>
    </row>
    <row r="18" spans="1:10" x14ac:dyDescent="0.2">
      <c r="A18" s="4" t="s">
        <v>47</v>
      </c>
      <c r="B18" s="21" t="s">
        <v>14</v>
      </c>
      <c r="C18" s="22">
        <v>0</v>
      </c>
      <c r="E18" s="4" t="s">
        <v>48</v>
      </c>
      <c r="F18" s="21">
        <f>(2.97+5.03+5.03+4.36+4.67+3.91+2.9+4.24+3.9+3.57+4.59+4.23+7.51+3.32+3.86+1.72+3.46+0.8+5.71+2.22+2.58+3.13+1.07)/23</f>
        <v>3.6860869565217378</v>
      </c>
      <c r="G18" s="22">
        <v>23</v>
      </c>
      <c r="I18" s="6" t="s">
        <v>52</v>
      </c>
      <c r="J18" s="7">
        <v>6.47</v>
      </c>
    </row>
    <row r="19" spans="1:10" x14ac:dyDescent="0.2">
      <c r="A19" s="4" t="s">
        <v>50</v>
      </c>
      <c r="B19" s="21" t="s">
        <v>14</v>
      </c>
      <c r="C19" s="22">
        <v>0</v>
      </c>
      <c r="E19" s="4" t="s">
        <v>51</v>
      </c>
      <c r="F19" s="17">
        <f>(4.99+4.06+5.37+0)/4</f>
        <v>3.6050000000000004</v>
      </c>
      <c r="G19" s="16">
        <v>4</v>
      </c>
      <c r="I19" s="6" t="s">
        <v>55</v>
      </c>
      <c r="J19" s="7">
        <v>6.65</v>
      </c>
    </row>
    <row r="20" spans="1:10" x14ac:dyDescent="0.2">
      <c r="A20" s="4" t="s">
        <v>53</v>
      </c>
      <c r="B20" s="17">
        <f>(10.29+8.04+7.98+9.65+7.9+6.21)/6</f>
        <v>8.3450000000000006</v>
      </c>
      <c r="C20" s="16">
        <v>6</v>
      </c>
      <c r="E20" s="4" t="s">
        <v>54</v>
      </c>
      <c r="F20" s="17">
        <f>(2.11+4.54+3.15+3.7)/4</f>
        <v>3.375</v>
      </c>
      <c r="G20" s="16">
        <v>4</v>
      </c>
      <c r="I20" s="6" t="s">
        <v>58</v>
      </c>
      <c r="J20" s="7">
        <v>6.19</v>
      </c>
    </row>
    <row r="21" spans="1:10" ht="15.75" customHeight="1" x14ac:dyDescent="0.2">
      <c r="A21" s="4" t="s">
        <v>56</v>
      </c>
      <c r="B21" s="21" t="s">
        <v>14</v>
      </c>
      <c r="C21" s="22">
        <v>0</v>
      </c>
      <c r="E21" s="4" t="s">
        <v>57</v>
      </c>
      <c r="F21" s="21">
        <f>(7+6.95+5.57+6.79+5.87+6.61+1.57)/7</f>
        <v>5.765714285714286</v>
      </c>
      <c r="G21" s="22">
        <v>7</v>
      </c>
      <c r="I21" s="6" t="s">
        <v>62</v>
      </c>
      <c r="J21" s="7">
        <v>6.52</v>
      </c>
    </row>
    <row r="22" spans="1:10" ht="15.75" customHeight="1" x14ac:dyDescent="0.2">
      <c r="A22" s="4" t="s">
        <v>59</v>
      </c>
      <c r="B22" s="21" t="s">
        <v>14</v>
      </c>
      <c r="C22" s="22">
        <v>0</v>
      </c>
      <c r="E22" s="4" t="s">
        <v>60</v>
      </c>
      <c r="F22" s="21" t="s">
        <v>14</v>
      </c>
      <c r="G22" s="22">
        <v>0</v>
      </c>
      <c r="I22" s="6" t="s">
        <v>65</v>
      </c>
      <c r="J22" s="7">
        <v>7</v>
      </c>
    </row>
    <row r="23" spans="1:10" ht="15.75" customHeight="1" x14ac:dyDescent="0.2">
      <c r="A23" s="4" t="s">
        <v>63</v>
      </c>
      <c r="B23" s="17">
        <v>5.57</v>
      </c>
      <c r="C23" s="16">
        <v>1</v>
      </c>
      <c r="E23" s="4" t="s">
        <v>64</v>
      </c>
      <c r="F23" s="17">
        <v>0.67</v>
      </c>
      <c r="G23" s="16">
        <v>1</v>
      </c>
      <c r="I23" s="6" t="s">
        <v>68</v>
      </c>
      <c r="J23" s="7">
        <v>6.91</v>
      </c>
    </row>
    <row r="24" spans="1:10" ht="15.75" customHeight="1" x14ac:dyDescent="0.2">
      <c r="A24" s="4" t="s">
        <v>66</v>
      </c>
      <c r="B24" s="17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71</v>
      </c>
      <c r="J24" s="7">
        <v>6.28</v>
      </c>
    </row>
    <row r="25" spans="1:10" ht="15.75" customHeight="1" x14ac:dyDescent="0.2">
      <c r="A25" s="4" t="s">
        <v>69</v>
      </c>
      <c r="B25" s="21">
        <f>(8.24+6.35+6.01)/3</f>
        <v>6.8666666666666671</v>
      </c>
      <c r="C25" s="22">
        <v>3</v>
      </c>
      <c r="E25" s="4" t="s">
        <v>70</v>
      </c>
      <c r="F25" s="21">
        <v>11.61</v>
      </c>
      <c r="G25" s="22">
        <v>1</v>
      </c>
      <c r="I25" s="6" t="s">
        <v>74</v>
      </c>
      <c r="J25" s="7">
        <v>6.5</v>
      </c>
    </row>
    <row r="26" spans="1:10" ht="15.75" customHeight="1" x14ac:dyDescent="0.2">
      <c r="A26" s="4" t="s">
        <v>72</v>
      </c>
      <c r="B26" s="21" t="s">
        <v>14</v>
      </c>
      <c r="C26" s="22">
        <v>0</v>
      </c>
      <c r="E26" s="4" t="s">
        <v>73</v>
      </c>
      <c r="F26" s="21">
        <f>(0+4.82)/2</f>
        <v>2.41</v>
      </c>
      <c r="G26" s="22">
        <v>2</v>
      </c>
      <c r="I26" s="6" t="s">
        <v>77</v>
      </c>
      <c r="J26" s="7">
        <v>6.33</v>
      </c>
    </row>
    <row r="27" spans="1:10" ht="15.75" customHeight="1" x14ac:dyDescent="0.2">
      <c r="A27" s="4" t="s">
        <v>75</v>
      </c>
      <c r="B27" s="17">
        <f>(5.76)/1</f>
        <v>5.76</v>
      </c>
      <c r="C27" s="16">
        <v>1</v>
      </c>
      <c r="E27" s="4" t="s">
        <v>76</v>
      </c>
      <c r="F27" s="17">
        <f>(5.71+4.83+6.13+7.66+6.48+6.33)/6</f>
        <v>6.19</v>
      </c>
      <c r="G27" s="16">
        <v>6</v>
      </c>
      <c r="I27" s="6" t="s">
        <v>80</v>
      </c>
      <c r="J27" s="7">
        <v>6.88</v>
      </c>
    </row>
    <row r="28" spans="1:10" ht="15.75" customHeight="1" x14ac:dyDescent="0.2">
      <c r="A28" s="4" t="s">
        <v>78</v>
      </c>
      <c r="B28" s="17">
        <f>(6.75+5.99+5.89+7.15+4.06+6.4+6.57)/7</f>
        <v>6.1157142857142857</v>
      </c>
      <c r="C28" s="16">
        <v>7</v>
      </c>
      <c r="E28" s="4" t="s">
        <v>79</v>
      </c>
      <c r="F28" s="17">
        <f>(5.41+5.28+6.43+2.53+5.36+7.01+3.09+6.88+7.39+5.69+7.09+5.23+5.79+6.7+4.34+0)/16</f>
        <v>5.2637500000000008</v>
      </c>
      <c r="G28" s="16">
        <v>16</v>
      </c>
      <c r="I28" s="6" t="s">
        <v>83</v>
      </c>
      <c r="J28" s="7">
        <v>6.3</v>
      </c>
    </row>
    <row r="29" spans="1:10" ht="15.75" customHeight="1" x14ac:dyDescent="0.2">
      <c r="A29" s="4" t="s">
        <v>81</v>
      </c>
      <c r="B29" s="21">
        <f>(6.27+7.23+5.29+7.07+4.99)/5</f>
        <v>6.17</v>
      </c>
      <c r="C29" s="22">
        <v>5</v>
      </c>
      <c r="E29" s="4" t="s">
        <v>82</v>
      </c>
      <c r="F29" s="21" t="s">
        <v>14</v>
      </c>
      <c r="G29" s="22">
        <v>0</v>
      </c>
      <c r="I29" s="6" t="s">
        <v>86</v>
      </c>
      <c r="J29" s="7">
        <v>6.8</v>
      </c>
    </row>
    <row r="30" spans="1:10" ht="15.75" customHeight="1" x14ac:dyDescent="0.2">
      <c r="A30" s="4" t="s">
        <v>84</v>
      </c>
      <c r="B30" s="21">
        <f t="shared" ref="B30:B31" si="1">(4.89+5.92)/2</f>
        <v>5.4049999999999994</v>
      </c>
      <c r="C30" s="22">
        <v>2</v>
      </c>
      <c r="E30" s="4" t="s">
        <v>85</v>
      </c>
      <c r="F30" s="21">
        <f>(7.59+8.61)/2</f>
        <v>8.1</v>
      </c>
      <c r="G30" s="22">
        <v>2</v>
      </c>
      <c r="I30" s="6" t="s">
        <v>89</v>
      </c>
      <c r="J30" s="7">
        <v>6.71</v>
      </c>
    </row>
    <row r="31" spans="1:10" ht="15.75" customHeight="1" x14ac:dyDescent="0.2">
      <c r="A31" s="4" t="s">
        <v>87</v>
      </c>
      <c r="B31" s="17">
        <f t="shared" si="1"/>
        <v>5.4049999999999994</v>
      </c>
      <c r="C31" s="16">
        <v>2</v>
      </c>
      <c r="E31" s="4" t="s">
        <v>88</v>
      </c>
      <c r="F31" s="17">
        <f>(11.4+8.03)/2</f>
        <v>9.7149999999999999</v>
      </c>
      <c r="G31" s="16">
        <v>2</v>
      </c>
      <c r="I31" s="6" t="s">
        <v>91</v>
      </c>
      <c r="J31" s="7">
        <v>6.2</v>
      </c>
    </row>
    <row r="32" spans="1:10" ht="15.75" customHeight="1" x14ac:dyDescent="0.2">
      <c r="A32" s="4" t="s">
        <v>65</v>
      </c>
      <c r="B32" s="17" t="s">
        <v>14</v>
      </c>
      <c r="C32" s="16">
        <v>0</v>
      </c>
      <c r="E32" s="4" t="s">
        <v>90</v>
      </c>
      <c r="F32" s="17">
        <f>(5.16+4.6+4.35+5.04+4.74+5.09+1.91)/7</f>
        <v>4.4128571428571428</v>
      </c>
      <c r="G32" s="16">
        <v>7</v>
      </c>
      <c r="I32" s="6" t="s">
        <v>94</v>
      </c>
      <c r="J32" s="7">
        <v>7.22</v>
      </c>
    </row>
    <row r="33" spans="1:10" ht="15.75" customHeight="1" x14ac:dyDescent="0.2">
      <c r="A33" s="4" t="s">
        <v>92</v>
      </c>
      <c r="B33" s="21">
        <v>1.28</v>
      </c>
      <c r="C33" s="22">
        <v>1</v>
      </c>
      <c r="E33" s="4" t="s">
        <v>93</v>
      </c>
      <c r="F33" s="21">
        <f>(6.42+5.85)/2</f>
        <v>6.1349999999999998</v>
      </c>
      <c r="G33" s="22">
        <v>2</v>
      </c>
      <c r="I33" s="6" t="s">
        <v>97</v>
      </c>
      <c r="J33" s="7">
        <v>6.08</v>
      </c>
    </row>
    <row r="34" spans="1:10" ht="15.75" customHeight="1" x14ac:dyDescent="0.2">
      <c r="A34" s="4" t="s">
        <v>95</v>
      </c>
      <c r="B34" s="18" t="s">
        <v>14</v>
      </c>
      <c r="C34" s="19">
        <v>0</v>
      </c>
      <c r="E34" s="4" t="s">
        <v>96</v>
      </c>
      <c r="F34" s="21">
        <v>5.71</v>
      </c>
      <c r="G34" s="22">
        <v>1</v>
      </c>
      <c r="I34" s="6" t="s">
        <v>100</v>
      </c>
      <c r="J34" s="7">
        <v>6.42</v>
      </c>
    </row>
    <row r="35" spans="1:10" ht="15.75" customHeight="1" x14ac:dyDescent="0.2">
      <c r="A35" s="4" t="s">
        <v>98</v>
      </c>
      <c r="B35" s="17" t="s">
        <v>14</v>
      </c>
      <c r="C35" s="16">
        <v>0</v>
      </c>
      <c r="E35" s="4" t="s">
        <v>99</v>
      </c>
      <c r="F35" s="17">
        <f>(6.05+7.5)/2</f>
        <v>6.7750000000000004</v>
      </c>
      <c r="G35" s="16">
        <v>2</v>
      </c>
      <c r="I35" s="6" t="s">
        <v>103</v>
      </c>
      <c r="J35" s="7">
        <v>6.28</v>
      </c>
    </row>
    <row r="36" spans="1:10" ht="15.75" customHeight="1" x14ac:dyDescent="0.2">
      <c r="A36" s="4" t="s">
        <v>101</v>
      </c>
      <c r="B36" s="17" t="s">
        <v>14</v>
      </c>
      <c r="C36" s="16">
        <v>0</v>
      </c>
      <c r="E36" s="4" t="s">
        <v>102</v>
      </c>
      <c r="F36" s="17">
        <f>(8.69+6.5+6.1)/3</f>
        <v>7.0966666666666667</v>
      </c>
      <c r="G36" s="16">
        <v>3</v>
      </c>
      <c r="I36" s="6" t="s">
        <v>105</v>
      </c>
      <c r="J36" s="7">
        <v>6.51</v>
      </c>
    </row>
    <row r="37" spans="1:10" ht="15.75" customHeight="1" x14ac:dyDescent="0.2">
      <c r="A37" s="4" t="s">
        <v>104</v>
      </c>
      <c r="B37" s="21" t="s">
        <v>14</v>
      </c>
      <c r="C37" s="22">
        <v>0</v>
      </c>
      <c r="I37" s="6" t="s">
        <v>106</v>
      </c>
      <c r="J37" s="7">
        <v>6.73</v>
      </c>
    </row>
    <row r="38" spans="1:10" ht="15.75" customHeight="1" x14ac:dyDescent="0.2">
      <c r="I38" s="6" t="s">
        <v>107</v>
      </c>
      <c r="J38" s="7">
        <v>6.43</v>
      </c>
    </row>
    <row r="39" spans="1:10" ht="15.75" customHeight="1" x14ac:dyDescent="0.2">
      <c r="I39" s="6" t="s">
        <v>108</v>
      </c>
      <c r="J39" s="7">
        <v>6.93</v>
      </c>
    </row>
    <row r="40" spans="1:10" ht="15.75" customHeight="1" x14ac:dyDescent="0.2">
      <c r="I40" s="6" t="s">
        <v>109</v>
      </c>
      <c r="J40" s="7">
        <v>6.22</v>
      </c>
    </row>
    <row r="41" spans="1:10" ht="15.75" customHeight="1" x14ac:dyDescent="0.2">
      <c r="I41" s="6" t="s">
        <v>110</v>
      </c>
      <c r="J41" s="7">
        <v>6.21</v>
      </c>
    </row>
    <row r="42" spans="1:10" ht="15.75" customHeight="1" x14ac:dyDescent="0.2">
      <c r="I42" s="6" t="s">
        <v>111</v>
      </c>
      <c r="J42" s="7">
        <v>6.21</v>
      </c>
    </row>
    <row r="43" spans="1:10" ht="15.75" customHeight="1" x14ac:dyDescent="0.2">
      <c r="I43" s="6" t="s">
        <v>112</v>
      </c>
      <c r="J43" s="7">
        <v>6.78</v>
      </c>
    </row>
    <row r="44" spans="1:10" ht="15.75" customHeight="1" x14ac:dyDescent="0.2">
      <c r="I44" s="6" t="s">
        <v>113</v>
      </c>
      <c r="J44" s="7">
        <v>6.26</v>
      </c>
    </row>
    <row r="45" spans="1:10" ht="15.75" customHeight="1" x14ac:dyDescent="0.2">
      <c r="I45" s="6" t="s">
        <v>114</v>
      </c>
      <c r="J45" s="7">
        <v>6.06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119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118</v>
      </c>
    </row>
    <row r="4" spans="1:10" x14ac:dyDescent="0.2">
      <c r="A4" s="4" t="s">
        <v>4</v>
      </c>
      <c r="B4" s="17">
        <v>4.3099999999999996</v>
      </c>
      <c r="C4" s="16">
        <v>1</v>
      </c>
      <c r="E4" s="4" t="s">
        <v>5</v>
      </c>
      <c r="F4" s="17">
        <f>(5.09+5.4)/2</f>
        <v>5.2450000000000001</v>
      </c>
      <c r="G4" s="16">
        <v>2</v>
      </c>
      <c r="I4" s="6" t="s">
        <v>9</v>
      </c>
      <c r="J4" s="7">
        <v>4.08</v>
      </c>
    </row>
    <row r="5" spans="1:10" x14ac:dyDescent="0.2">
      <c r="A5" s="23" t="s">
        <v>7</v>
      </c>
      <c r="B5" s="21">
        <f>(6.56+6.07+12.18+5.49+5.71+7.1+4.73+7.32+5.51+7.11+5.79+6.22+8.13+5.96+5.29+6.27+5.68+6.27+7.45+7.95+5.96+9.61+5.75+6.44+6.87+5+8.7+5.58+6.85+8.95+7.38+5.29+6.61+6.83+5.21)/35</f>
        <v>6.6805714285714295</v>
      </c>
      <c r="C5" s="22">
        <v>35</v>
      </c>
      <c r="E5" s="4" t="s">
        <v>8</v>
      </c>
      <c r="F5" s="21">
        <f>(4.23+4.34+4.3+6.01+5.39+2.01)/6</f>
        <v>4.38</v>
      </c>
      <c r="G5" s="22">
        <v>6</v>
      </c>
      <c r="I5" s="6" t="s">
        <v>12</v>
      </c>
      <c r="J5" s="7">
        <v>4.8899999999999997</v>
      </c>
    </row>
    <row r="6" spans="1:10" x14ac:dyDescent="0.2">
      <c r="A6" s="4" t="s">
        <v>10</v>
      </c>
      <c r="B6" s="21">
        <v>4.9000000000000004</v>
      </c>
      <c r="C6" s="22">
        <v>2</v>
      </c>
      <c r="E6" s="4" t="s">
        <v>11</v>
      </c>
      <c r="F6" s="21">
        <f>(6.38+6.04+7.31+6.79+4.21+6.21+6.73+4.8+7.24+6.96+2.35+1.38+5.52+6.83+7.53+0.11+6.97+3.74+5.11)/19</f>
        <v>5.3794736842105255</v>
      </c>
      <c r="G6" s="22">
        <v>19</v>
      </c>
      <c r="I6" s="6" t="s">
        <v>16</v>
      </c>
      <c r="J6" s="7">
        <v>4.5599999999999996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4.78</v>
      </c>
      <c r="G7" s="16">
        <v>1</v>
      </c>
      <c r="I7" s="6" t="s">
        <v>19</v>
      </c>
      <c r="J7" s="7">
        <v>5.26</v>
      </c>
    </row>
    <row r="8" spans="1:10" x14ac:dyDescent="0.2">
      <c r="A8" s="4" t="s">
        <v>17</v>
      </c>
      <c r="B8" s="17">
        <f>(5.8+5.49+4.57+6.68)/4</f>
        <v>5.6349999999999998</v>
      </c>
      <c r="C8" s="16">
        <v>4</v>
      </c>
      <c r="E8" s="4" t="s">
        <v>18</v>
      </c>
      <c r="F8" s="17">
        <f>(7.31+4.09+3.95+4.09+4.05+3.64+4.06+4.29)/8</f>
        <v>4.4349999999999996</v>
      </c>
      <c r="G8" s="16">
        <v>8</v>
      </c>
      <c r="I8" s="6" t="s">
        <v>22</v>
      </c>
      <c r="J8" s="7">
        <v>4.88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(4.94+4.3+3.79+5.74)/4</f>
        <v>4.6925000000000008</v>
      </c>
      <c r="G9" s="22">
        <v>4</v>
      </c>
      <c r="I9" s="6" t="s">
        <v>25</v>
      </c>
      <c r="J9" s="7">
        <v>4.6399999999999997</v>
      </c>
    </row>
    <row r="10" spans="1:10" x14ac:dyDescent="0.2">
      <c r="A10" s="4" t="s">
        <v>23</v>
      </c>
      <c r="B10" s="21">
        <v>4.05</v>
      </c>
      <c r="C10" s="22">
        <v>1</v>
      </c>
      <c r="E10" s="4" t="s">
        <v>24</v>
      </c>
      <c r="F10" s="21">
        <f>(1.17+4.07+3.37+3.74+4.19)/5</f>
        <v>3.3079999999999998</v>
      </c>
      <c r="G10" s="22">
        <v>5</v>
      </c>
      <c r="I10" s="6" t="s">
        <v>28</v>
      </c>
      <c r="J10" s="7">
        <v>4.53</v>
      </c>
    </row>
    <row r="11" spans="1:10" x14ac:dyDescent="0.2">
      <c r="A11" s="4" t="s">
        <v>26</v>
      </c>
      <c r="B11" s="17">
        <f>(6.1+5.22)/2</f>
        <v>5.66</v>
      </c>
      <c r="C11" s="16">
        <v>2</v>
      </c>
      <c r="E11" s="4" t="s">
        <v>27</v>
      </c>
      <c r="F11" s="17">
        <f>(3.62+3.24+3.53+3.87+4.23+0+4.23+3.94+3.51+3.17)/10</f>
        <v>3.3340000000000005</v>
      </c>
      <c r="G11" s="16">
        <v>10</v>
      </c>
      <c r="I11" s="6" t="s">
        <v>31</v>
      </c>
      <c r="J11" s="7">
        <v>5.3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34</v>
      </c>
      <c r="J12" s="7">
        <v>4.8</v>
      </c>
    </row>
    <row r="13" spans="1:10" x14ac:dyDescent="0.2">
      <c r="A13" s="4" t="s">
        <v>32</v>
      </c>
      <c r="B13" s="21" t="s">
        <v>14</v>
      </c>
      <c r="C13" s="22">
        <v>0</v>
      </c>
      <c r="E13" s="4" t="s">
        <v>33</v>
      </c>
      <c r="F13" s="21" t="s">
        <v>14</v>
      </c>
      <c r="G13" s="22">
        <v>0</v>
      </c>
      <c r="I13" s="6" t="s">
        <v>37</v>
      </c>
      <c r="J13" s="7">
        <v>5</v>
      </c>
    </row>
    <row r="14" spans="1:10" x14ac:dyDescent="0.2">
      <c r="A14" s="4" t="s">
        <v>35</v>
      </c>
      <c r="B14" s="21">
        <v>3.92</v>
      </c>
      <c r="C14" s="22">
        <v>1</v>
      </c>
      <c r="E14" s="4" t="s">
        <v>36</v>
      </c>
      <c r="F14" s="21">
        <f>(3.82+3.93+3.32+5.07+3.48+2.07+4.56+3.99+3.79+3.61+3.99+3.84+3.74+4.23+4.18+3.78+3.56+0.34+2.9+4.78+3.43+3.45)/22</f>
        <v>3.6300000000000008</v>
      </c>
      <c r="G14" s="22">
        <v>22</v>
      </c>
      <c r="I14" s="6" t="s">
        <v>40</v>
      </c>
      <c r="J14" s="7">
        <v>5.0199999999999996</v>
      </c>
    </row>
    <row r="15" spans="1:10" x14ac:dyDescent="0.2">
      <c r="A15" s="4" t="s">
        <v>38</v>
      </c>
      <c r="B15" s="17">
        <v>6.16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43</v>
      </c>
      <c r="J15" s="7">
        <v>5.01</v>
      </c>
    </row>
    <row r="16" spans="1:10" x14ac:dyDescent="0.2">
      <c r="A16" s="4" t="s">
        <v>41</v>
      </c>
      <c r="B16" s="17">
        <f>(6.7+5.65)/2</f>
        <v>6.1750000000000007</v>
      </c>
      <c r="C16" s="16">
        <v>2</v>
      </c>
      <c r="E16" s="4" t="s">
        <v>42</v>
      </c>
      <c r="F16" s="17">
        <v>5.34</v>
      </c>
      <c r="G16" s="16">
        <v>1</v>
      </c>
      <c r="I16" s="6" t="s">
        <v>46</v>
      </c>
      <c r="J16" s="7">
        <v>4.29</v>
      </c>
    </row>
    <row r="17" spans="1:10" x14ac:dyDescent="0.2">
      <c r="A17" s="4" t="s">
        <v>44</v>
      </c>
      <c r="B17" s="21">
        <v>4.88</v>
      </c>
      <c r="C17" s="22">
        <v>1</v>
      </c>
      <c r="E17" s="4" t="s">
        <v>45</v>
      </c>
      <c r="F17" s="21">
        <f>(6.1+6.45+8.05+5.93+4.72+6.51+4.61+7.95+6.9+4.86)/10</f>
        <v>6.2080000000000002</v>
      </c>
      <c r="G17" s="22">
        <v>10</v>
      </c>
      <c r="I17" s="6" t="s">
        <v>49</v>
      </c>
      <c r="J17" s="7">
        <v>4.25</v>
      </c>
    </row>
    <row r="18" spans="1:10" x14ac:dyDescent="0.2">
      <c r="A18" s="4" t="s">
        <v>47</v>
      </c>
      <c r="B18" s="21" t="s">
        <v>14</v>
      </c>
      <c r="C18" s="22">
        <v>0</v>
      </c>
      <c r="E18" s="4" t="s">
        <v>48</v>
      </c>
      <c r="F18" s="21">
        <f>(7.66+8.38+8.65+9.99+9.34+7.91+1.37+8.29+7.9+8.76+5.24+7.09+6.85+7.92+6.42+7.09+7.42+6.64+9.32+4.7+10.47+7.84+6.3+4.1+6.95+8.04)/26</f>
        <v>7.3323076923076904</v>
      </c>
      <c r="G18" s="22">
        <v>26</v>
      </c>
      <c r="I18" s="6" t="s">
        <v>52</v>
      </c>
      <c r="J18" s="7">
        <v>4.3099999999999996</v>
      </c>
    </row>
    <row r="19" spans="1:10" x14ac:dyDescent="0.2">
      <c r="A19" s="4" t="s">
        <v>50</v>
      </c>
      <c r="B19" s="17" t="s">
        <v>14</v>
      </c>
      <c r="C19" s="16">
        <v>0</v>
      </c>
      <c r="E19" s="4" t="s">
        <v>51</v>
      </c>
      <c r="F19" s="17">
        <f>(4.2+4+5.03+5.99)/4</f>
        <v>4.8049999999999997</v>
      </c>
      <c r="G19" s="16">
        <v>4</v>
      </c>
      <c r="I19" s="6" t="s">
        <v>55</v>
      </c>
      <c r="J19" s="7">
        <v>4.5199999999999996</v>
      </c>
    </row>
    <row r="20" spans="1:10" x14ac:dyDescent="0.2">
      <c r="A20" s="4" t="s">
        <v>53</v>
      </c>
      <c r="B20" s="17">
        <f>(5.77+4.43+4.56+5.04+5.46+4.16)/6</f>
        <v>4.9033333333333333</v>
      </c>
      <c r="C20" s="16">
        <v>6</v>
      </c>
      <c r="E20" s="4" t="s">
        <v>54</v>
      </c>
      <c r="F20" s="17">
        <f>(6.85+5.15+5.94+6.49)/4</f>
        <v>6.1074999999999999</v>
      </c>
      <c r="G20" s="16">
        <v>4</v>
      </c>
      <c r="I20" s="6" t="s">
        <v>58</v>
      </c>
      <c r="J20" s="7">
        <v>3.56</v>
      </c>
    </row>
    <row r="21" spans="1:10" ht="15.75" customHeight="1" x14ac:dyDescent="0.2">
      <c r="A21" s="4" t="s">
        <v>56</v>
      </c>
      <c r="B21" s="21" t="s">
        <v>14</v>
      </c>
      <c r="C21" s="22">
        <v>0</v>
      </c>
      <c r="E21" s="4" t="s">
        <v>57</v>
      </c>
      <c r="F21" s="21">
        <f>(5.58+6.49+4.47+5.12+5.12+4.68+0.59+1.79)/8</f>
        <v>4.2300000000000004</v>
      </c>
      <c r="G21" s="22">
        <v>8</v>
      </c>
      <c r="I21" s="6" t="s">
        <v>62</v>
      </c>
      <c r="J21" s="7">
        <v>4.51</v>
      </c>
    </row>
    <row r="22" spans="1:10" ht="15.75" customHeight="1" x14ac:dyDescent="0.2">
      <c r="A22" s="4" t="s">
        <v>59</v>
      </c>
      <c r="B22" s="21" t="s">
        <v>14</v>
      </c>
      <c r="C22" s="22">
        <v>0</v>
      </c>
      <c r="E22" s="4" t="s">
        <v>60</v>
      </c>
      <c r="F22" s="21" t="s">
        <v>14</v>
      </c>
      <c r="G22" s="22">
        <v>0</v>
      </c>
      <c r="I22" s="6" t="s">
        <v>65</v>
      </c>
      <c r="J22" s="7">
        <v>5.57</v>
      </c>
    </row>
    <row r="23" spans="1:10" ht="15.75" customHeight="1" x14ac:dyDescent="0.2">
      <c r="A23" s="4" t="s">
        <v>63</v>
      </c>
      <c r="B23" s="17">
        <v>7.23</v>
      </c>
      <c r="C23" s="16">
        <v>1</v>
      </c>
      <c r="E23" s="4" t="s">
        <v>64</v>
      </c>
      <c r="F23" s="17">
        <v>1.07</v>
      </c>
      <c r="G23" s="16">
        <v>1</v>
      </c>
      <c r="I23" s="6" t="s">
        <v>68</v>
      </c>
      <c r="J23" s="7">
        <v>3.92</v>
      </c>
    </row>
    <row r="24" spans="1:10" ht="15.75" customHeight="1" x14ac:dyDescent="0.2">
      <c r="A24" s="4" t="s">
        <v>66</v>
      </c>
      <c r="B24" s="17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71</v>
      </c>
      <c r="J24" s="7">
        <v>4.71</v>
      </c>
    </row>
    <row r="25" spans="1:10" ht="15.75" customHeight="1" x14ac:dyDescent="0.2">
      <c r="A25" s="4" t="s">
        <v>69</v>
      </c>
      <c r="B25" s="21">
        <f>(5.45+7.2+4.58)/3</f>
        <v>5.7433333333333332</v>
      </c>
      <c r="C25" s="22">
        <v>3</v>
      </c>
      <c r="E25" s="4" t="s">
        <v>70</v>
      </c>
      <c r="F25" s="21">
        <v>6.42</v>
      </c>
      <c r="G25" s="22">
        <v>1</v>
      </c>
      <c r="I25" s="6" t="s">
        <v>74</v>
      </c>
      <c r="J25" s="7">
        <v>5.48</v>
      </c>
    </row>
    <row r="26" spans="1:10" ht="15.75" customHeight="1" x14ac:dyDescent="0.2">
      <c r="A26" s="4" t="s">
        <v>72</v>
      </c>
      <c r="B26" s="21" t="s">
        <v>14</v>
      </c>
      <c r="C26" s="22">
        <v>0</v>
      </c>
      <c r="E26" s="4" t="s">
        <v>73</v>
      </c>
      <c r="F26" s="21">
        <v>4.63</v>
      </c>
      <c r="G26" s="22">
        <v>1</v>
      </c>
      <c r="I26" s="6" t="s">
        <v>77</v>
      </c>
      <c r="J26" s="7">
        <v>5.89</v>
      </c>
    </row>
    <row r="27" spans="1:10" ht="15.75" customHeight="1" x14ac:dyDescent="0.2">
      <c r="A27" s="4" t="s">
        <v>75</v>
      </c>
      <c r="B27" s="17">
        <v>5.68</v>
      </c>
      <c r="C27" s="16">
        <v>1</v>
      </c>
      <c r="E27" s="4" t="s">
        <v>76</v>
      </c>
      <c r="F27" s="17">
        <f>(4.14+4.52+4.65+5.85+5.75+4.99)/6</f>
        <v>4.9833333333333334</v>
      </c>
      <c r="G27" s="16">
        <v>6</v>
      </c>
      <c r="I27" s="6" t="s">
        <v>80</v>
      </c>
      <c r="J27" s="7">
        <v>5.26</v>
      </c>
    </row>
    <row r="28" spans="1:10" ht="15.75" customHeight="1" x14ac:dyDescent="0.2">
      <c r="A28" s="4" t="s">
        <v>78</v>
      </c>
      <c r="B28" s="17">
        <f>(7.01+7.67+5.46+7.21+7.13+8.05+6.91)/7</f>
        <v>7.0628571428571423</v>
      </c>
      <c r="C28" s="16">
        <v>7</v>
      </c>
      <c r="E28" s="4" t="s">
        <v>79</v>
      </c>
      <c r="F28" s="17">
        <f>(3.92+4.83+4.36+1.98+4.62+3.19+5.72+4.14+4.44+2.9+5.41+4.15+4.4+3.85)/14</f>
        <v>4.1364285714285707</v>
      </c>
      <c r="G28" s="16">
        <v>14</v>
      </c>
      <c r="I28" s="6" t="s">
        <v>83</v>
      </c>
      <c r="J28" s="7">
        <v>3.92</v>
      </c>
    </row>
    <row r="29" spans="1:10" ht="15.75" customHeight="1" x14ac:dyDescent="0.2">
      <c r="A29" s="4" t="s">
        <v>81</v>
      </c>
      <c r="B29" s="21">
        <f>(5+5.17+4.92+4.75)/4</f>
        <v>4.96</v>
      </c>
      <c r="C29" s="22">
        <v>4</v>
      </c>
      <c r="E29" s="4" t="s">
        <v>82</v>
      </c>
      <c r="F29" s="21" t="s">
        <v>14</v>
      </c>
      <c r="G29" s="22">
        <v>0</v>
      </c>
      <c r="I29" s="6" t="s">
        <v>86</v>
      </c>
      <c r="J29" s="7">
        <v>5.59</v>
      </c>
    </row>
    <row r="30" spans="1:10" ht="15.75" customHeight="1" x14ac:dyDescent="0.2">
      <c r="A30" s="4" t="s">
        <v>84</v>
      </c>
      <c r="B30" s="21">
        <f>(3.17+3.08)/2</f>
        <v>3.125</v>
      </c>
      <c r="C30" s="22">
        <v>2</v>
      </c>
      <c r="E30" s="4" t="s">
        <v>85</v>
      </c>
      <c r="F30" s="21">
        <f>(4.96+4.11)/2</f>
        <v>4.5350000000000001</v>
      </c>
      <c r="G30" s="22">
        <v>2</v>
      </c>
      <c r="I30" s="6" t="s">
        <v>89</v>
      </c>
      <c r="J30" s="7">
        <v>5.15</v>
      </c>
    </row>
    <row r="31" spans="1:10" ht="15.75" customHeight="1" x14ac:dyDescent="0.2">
      <c r="A31" s="4" t="s">
        <v>87</v>
      </c>
      <c r="B31" s="17">
        <v>5.56</v>
      </c>
      <c r="C31" s="16">
        <v>1</v>
      </c>
      <c r="E31" s="4" t="s">
        <v>88</v>
      </c>
      <c r="F31" s="17">
        <f>(5.78+3.24)/2</f>
        <v>4.51</v>
      </c>
      <c r="G31" s="16">
        <v>2</v>
      </c>
      <c r="I31" s="6" t="s">
        <v>91</v>
      </c>
      <c r="J31" s="7">
        <v>5.0999999999999996</v>
      </c>
    </row>
    <row r="32" spans="1:10" ht="15.75" customHeight="1" x14ac:dyDescent="0.2">
      <c r="A32" s="4" t="s">
        <v>65</v>
      </c>
      <c r="B32" s="17">
        <v>2.12</v>
      </c>
      <c r="C32" s="16">
        <v>1</v>
      </c>
      <c r="E32" s="4" t="s">
        <v>90</v>
      </c>
      <c r="F32" s="17">
        <f>(3.98+4.41+6.26+6.09+6.93+5.23+5.01)/7</f>
        <v>5.4157142857142864</v>
      </c>
      <c r="G32" s="16">
        <v>7</v>
      </c>
      <c r="I32" s="6" t="s">
        <v>94</v>
      </c>
      <c r="J32" s="7">
        <v>5.38</v>
      </c>
    </row>
    <row r="33" spans="1:10" ht="15.75" customHeight="1" x14ac:dyDescent="0.2">
      <c r="A33" s="4" t="s">
        <v>92</v>
      </c>
      <c r="B33" s="21" t="s">
        <v>14</v>
      </c>
      <c r="C33" s="22">
        <v>0</v>
      </c>
      <c r="E33" s="4" t="s">
        <v>93</v>
      </c>
      <c r="F33" s="21">
        <f>(6.54+6.53)/2</f>
        <v>6.5350000000000001</v>
      </c>
      <c r="G33" s="22">
        <v>2</v>
      </c>
      <c r="I33" s="6" t="s">
        <v>97</v>
      </c>
      <c r="J33" s="7">
        <v>4.59</v>
      </c>
    </row>
    <row r="34" spans="1:10" ht="15.75" customHeight="1" x14ac:dyDescent="0.2">
      <c r="A34" s="4" t="s">
        <v>95</v>
      </c>
      <c r="B34" s="18" t="s">
        <v>14</v>
      </c>
      <c r="C34" s="19">
        <v>0</v>
      </c>
      <c r="E34" s="4" t="s">
        <v>96</v>
      </c>
      <c r="F34" s="21">
        <v>5.58</v>
      </c>
      <c r="G34" s="22">
        <v>1</v>
      </c>
      <c r="I34" s="6" t="s">
        <v>100</v>
      </c>
      <c r="J34" s="7">
        <v>5.16</v>
      </c>
    </row>
    <row r="35" spans="1:10" ht="15.75" customHeight="1" x14ac:dyDescent="0.2">
      <c r="A35" s="4" t="s">
        <v>98</v>
      </c>
      <c r="B35" s="17" t="s">
        <v>14</v>
      </c>
      <c r="C35" s="16">
        <v>0</v>
      </c>
      <c r="E35" s="4" t="s">
        <v>99</v>
      </c>
      <c r="F35" s="17">
        <f>(4.95+4.01)/2</f>
        <v>4.4800000000000004</v>
      </c>
      <c r="G35" s="16">
        <v>2</v>
      </c>
      <c r="I35" s="6" t="s">
        <v>103</v>
      </c>
      <c r="J35" s="7">
        <v>5.01</v>
      </c>
    </row>
    <row r="36" spans="1:10" ht="15.75" customHeight="1" x14ac:dyDescent="0.2">
      <c r="A36" s="4" t="s">
        <v>101</v>
      </c>
      <c r="B36" s="17" t="s">
        <v>14</v>
      </c>
      <c r="C36" s="16">
        <v>0</v>
      </c>
      <c r="E36" s="4" t="s">
        <v>102</v>
      </c>
      <c r="F36" s="17">
        <f>(3.09+6.07+6.48)/3</f>
        <v>5.2133333333333338</v>
      </c>
      <c r="G36" s="16">
        <v>3</v>
      </c>
      <c r="I36" s="6" t="s">
        <v>105</v>
      </c>
      <c r="J36" s="7">
        <v>5.0599999999999996</v>
      </c>
    </row>
    <row r="37" spans="1:10" ht="15.75" customHeight="1" x14ac:dyDescent="0.2">
      <c r="A37" s="4" t="s">
        <v>104</v>
      </c>
      <c r="B37" s="21" t="s">
        <v>14</v>
      </c>
      <c r="C37" s="22">
        <v>0</v>
      </c>
      <c r="I37" s="6" t="s">
        <v>106</v>
      </c>
      <c r="J37" s="7">
        <v>5.18</v>
      </c>
    </row>
    <row r="38" spans="1:10" ht="15.75" customHeight="1" x14ac:dyDescent="0.2">
      <c r="I38" s="6" t="s">
        <v>107</v>
      </c>
      <c r="J38" s="7">
        <v>4.9000000000000004</v>
      </c>
    </row>
    <row r="39" spans="1:10" ht="15.75" customHeight="1" x14ac:dyDescent="0.2">
      <c r="I39" s="6" t="s">
        <v>108</v>
      </c>
      <c r="J39" s="7">
        <v>5.23</v>
      </c>
    </row>
    <row r="40" spans="1:10" ht="15.75" customHeight="1" x14ac:dyDescent="0.2">
      <c r="I40" s="6" t="s">
        <v>109</v>
      </c>
      <c r="J40" s="7">
        <v>4.74</v>
      </c>
    </row>
    <row r="41" spans="1:10" ht="15.75" customHeight="1" x14ac:dyDescent="0.2">
      <c r="I41" s="6" t="s">
        <v>110</v>
      </c>
      <c r="J41" s="7">
        <v>4.45</v>
      </c>
    </row>
    <row r="42" spans="1:10" ht="15.75" customHeight="1" x14ac:dyDescent="0.2">
      <c r="I42" s="6" t="s">
        <v>111</v>
      </c>
      <c r="J42" s="7">
        <v>4.6399999999999997</v>
      </c>
    </row>
    <row r="43" spans="1:10" ht="15.75" customHeight="1" x14ac:dyDescent="0.2">
      <c r="I43" s="6" t="s">
        <v>112</v>
      </c>
      <c r="J43" s="7">
        <v>5.52</v>
      </c>
    </row>
    <row r="44" spans="1:10" ht="15.75" customHeight="1" x14ac:dyDescent="0.2">
      <c r="I44" s="6" t="s">
        <v>113</v>
      </c>
      <c r="J44" s="7">
        <v>5.12</v>
      </c>
    </row>
    <row r="45" spans="1:10" ht="15.75" customHeight="1" x14ac:dyDescent="0.2">
      <c r="I45" s="6" t="s">
        <v>114</v>
      </c>
      <c r="J45" s="7">
        <v>4.68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4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120</v>
      </c>
      <c r="B2" s="32"/>
      <c r="C2" s="32"/>
      <c r="D2" s="32"/>
      <c r="E2" s="32"/>
      <c r="F2" s="32"/>
      <c r="G2" s="32"/>
      <c r="H2" s="32"/>
    </row>
    <row r="3" spans="1:10" ht="60" customHeight="1" x14ac:dyDescent="0.2">
      <c r="B3" s="3" t="s">
        <v>2</v>
      </c>
      <c r="C3" s="1" t="s">
        <v>3</v>
      </c>
      <c r="F3" s="3" t="s">
        <v>2</v>
      </c>
      <c r="G3" s="1" t="s">
        <v>3</v>
      </c>
      <c r="I3" s="35" t="s">
        <v>121</v>
      </c>
      <c r="J3" s="36"/>
    </row>
    <row r="4" spans="1:10" x14ac:dyDescent="0.2">
      <c r="A4" s="4" t="s">
        <v>4</v>
      </c>
      <c r="B4" s="7">
        <v>3.97</v>
      </c>
      <c r="C4" s="6">
        <v>1</v>
      </c>
      <c r="E4" s="4" t="s">
        <v>5</v>
      </c>
      <c r="F4" s="7">
        <f>(4.04+5.03)/2</f>
        <v>4.5350000000000001</v>
      </c>
      <c r="G4" s="6">
        <v>2</v>
      </c>
      <c r="I4" s="6" t="s">
        <v>9</v>
      </c>
      <c r="J4" s="7">
        <v>3.82</v>
      </c>
    </row>
    <row r="5" spans="1:10" x14ac:dyDescent="0.2">
      <c r="A5" s="4" t="s">
        <v>7</v>
      </c>
      <c r="B5" s="11">
        <f>(3.96+4.75+6.21+4.37+3.09+2.42+4.67+3.23+5.15+4.09+5.03+5.57+3.82+4.01+2.14+3.37+4.28+1.36+3.07+0.54+3.25+2.73+1.35+1.58+4.65+4.44+3.35+3.83+1.83+1.22+3.87+2.64+5.25+1.92+6.02)/35</f>
        <v>3.5159999999999996</v>
      </c>
      <c r="C5" s="10">
        <v>35</v>
      </c>
      <c r="E5" s="4" t="s">
        <v>8</v>
      </c>
      <c r="F5" s="11">
        <f>(4.96+4.74+6.26+3.37+4.82+4.48)/6</f>
        <v>4.7716666666666665</v>
      </c>
      <c r="G5" s="10">
        <v>6</v>
      </c>
      <c r="I5" s="6" t="s">
        <v>12</v>
      </c>
      <c r="J5" s="7">
        <v>3.92</v>
      </c>
    </row>
    <row r="6" spans="1:10" x14ac:dyDescent="0.2">
      <c r="A6" s="4" t="s">
        <v>10</v>
      </c>
      <c r="B6" s="11">
        <f>(5.55+3.86)/2</f>
        <v>4.7050000000000001</v>
      </c>
      <c r="C6" s="10">
        <v>2</v>
      </c>
      <c r="E6" s="4" t="s">
        <v>11</v>
      </c>
      <c r="F6" s="11">
        <f>(4.98+2.41+1.49+4.37+4.49+3.09+1.47+4.51+3.33+1.39+1.86+5.27+3.84+3.89+0+4.15+2.96+1.99)/18</f>
        <v>3.0827777777777778</v>
      </c>
      <c r="G6" s="10">
        <v>18</v>
      </c>
      <c r="I6" s="6" t="s">
        <v>16</v>
      </c>
      <c r="J6" s="7">
        <v>4.33</v>
      </c>
    </row>
    <row r="7" spans="1:10" x14ac:dyDescent="0.2">
      <c r="A7" s="4" t="s">
        <v>13</v>
      </c>
      <c r="B7" s="5" t="s">
        <v>14</v>
      </c>
      <c r="C7" s="6">
        <v>0</v>
      </c>
      <c r="E7" s="4" t="s">
        <v>15</v>
      </c>
      <c r="F7" s="12">
        <v>2.76</v>
      </c>
      <c r="G7" s="13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7">
        <f>(4.22+4.16+3.48+3.87)/4</f>
        <v>3.9325000000000001</v>
      </c>
      <c r="C8" s="6">
        <v>4</v>
      </c>
      <c r="E8" s="4" t="s">
        <v>18</v>
      </c>
      <c r="F8" s="7">
        <f>(5.6+1.51+3.76+4.55+1.6+4.53+5.65+4.64+5.98)/9</f>
        <v>4.2022222222222227</v>
      </c>
      <c r="G8" s="6">
        <v>9</v>
      </c>
      <c r="I8" s="6" t="s">
        <v>22</v>
      </c>
      <c r="J8" s="7">
        <v>3.89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11">
        <f>(3.97+3.2+3.53+3.6)/4</f>
        <v>3.5749999999999997</v>
      </c>
      <c r="G9" s="10">
        <v>4</v>
      </c>
      <c r="I9" s="6" t="s">
        <v>25</v>
      </c>
      <c r="J9" s="7">
        <v>4</v>
      </c>
    </row>
    <row r="10" spans="1:10" x14ac:dyDescent="0.2">
      <c r="A10" s="4" t="s">
        <v>23</v>
      </c>
      <c r="B10" s="9">
        <f>(7.53)/1</f>
        <v>7.53</v>
      </c>
      <c r="C10" s="10">
        <v>1</v>
      </c>
      <c r="E10" s="4" t="s">
        <v>24</v>
      </c>
      <c r="F10" s="11">
        <f>(2.69+2.77+2.62+2.95+5.44)/5</f>
        <v>3.2940000000000005</v>
      </c>
      <c r="G10" s="10">
        <v>5</v>
      </c>
      <c r="I10" s="6" t="s">
        <v>28</v>
      </c>
      <c r="J10" s="7">
        <v>5.16</v>
      </c>
    </row>
    <row r="11" spans="1:10" x14ac:dyDescent="0.2">
      <c r="A11" s="4" t="s">
        <v>26</v>
      </c>
      <c r="B11" s="7">
        <f>(5.17+4.85)/2</f>
        <v>5.01</v>
      </c>
      <c r="C11" s="6">
        <v>2</v>
      </c>
      <c r="E11" s="4" t="s">
        <v>27</v>
      </c>
      <c r="F11" s="7">
        <f>(1.7+4.94+3.81+3.19+4.85+3+4.43+4.54+3.42)/9</f>
        <v>3.7644444444444449</v>
      </c>
      <c r="G11" s="6">
        <v>9</v>
      </c>
      <c r="I11" s="6" t="s">
        <v>31</v>
      </c>
      <c r="J11" s="7">
        <v>5.81</v>
      </c>
    </row>
    <row r="12" spans="1:10" x14ac:dyDescent="0.2">
      <c r="A12" s="4" t="s">
        <v>29</v>
      </c>
      <c r="B12" s="5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5.04</v>
      </c>
    </row>
    <row r="13" spans="1:10" x14ac:dyDescent="0.2">
      <c r="A13" s="4" t="s">
        <v>32</v>
      </c>
      <c r="B13" s="9" t="s">
        <v>14</v>
      </c>
      <c r="C13" s="10">
        <v>0</v>
      </c>
      <c r="E13" s="4" t="s">
        <v>33</v>
      </c>
      <c r="F13" s="9" t="s">
        <v>14</v>
      </c>
      <c r="G13" s="10">
        <v>0</v>
      </c>
      <c r="I13" s="6" t="s">
        <v>37</v>
      </c>
      <c r="J13" s="7">
        <v>2.62</v>
      </c>
    </row>
    <row r="14" spans="1:10" x14ac:dyDescent="0.2">
      <c r="A14" s="4" t="s">
        <v>35</v>
      </c>
      <c r="B14" s="11">
        <v>2.97</v>
      </c>
      <c r="C14" s="10">
        <v>1</v>
      </c>
      <c r="E14" s="4" t="s">
        <v>36</v>
      </c>
      <c r="F14" s="11">
        <f>(3.99+3.23+4.67+4.16+5.24+1.75+5.11+2.56+4.32+4.07+2.47+2.66+2.68+4.53+4.5+4.99+2.47+4.94+5.93+3.71+2.38)/21</f>
        <v>3.8266666666666667</v>
      </c>
      <c r="G14" s="10">
        <v>21</v>
      </c>
      <c r="I14" s="6" t="s">
        <v>40</v>
      </c>
      <c r="J14" s="7">
        <v>4.2300000000000004</v>
      </c>
    </row>
    <row r="15" spans="1:10" x14ac:dyDescent="0.2">
      <c r="A15" s="4" t="s">
        <v>38</v>
      </c>
      <c r="B15" s="5">
        <v>4.3099999999999996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5.79</v>
      </c>
    </row>
    <row r="16" spans="1:10" x14ac:dyDescent="0.2">
      <c r="A16" s="4" t="s">
        <v>41</v>
      </c>
      <c r="B16" s="5">
        <f>(3.67+4.22+3.75)/3</f>
        <v>3.8800000000000003</v>
      </c>
      <c r="C16" s="6">
        <v>3</v>
      </c>
      <c r="E16" s="4" t="s">
        <v>42</v>
      </c>
      <c r="F16" s="7">
        <v>3.3</v>
      </c>
      <c r="G16" s="6">
        <v>1</v>
      </c>
      <c r="I16" s="6" t="s">
        <v>46</v>
      </c>
      <c r="J16" s="7">
        <v>3.97</v>
      </c>
    </row>
    <row r="17" spans="1:10" x14ac:dyDescent="0.2">
      <c r="A17" s="4" t="s">
        <v>44</v>
      </c>
      <c r="B17" s="9">
        <v>3.87</v>
      </c>
      <c r="C17" s="10">
        <v>1</v>
      </c>
      <c r="E17" s="4" t="s">
        <v>45</v>
      </c>
      <c r="F17" s="11">
        <f>(2.95+3.02+3.49+0.26+5.38+3.85+2.95+3.71+2.81+6.3+4.62)/11</f>
        <v>3.5763636363636362</v>
      </c>
      <c r="G17" s="10">
        <v>11</v>
      </c>
      <c r="I17" s="6" t="s">
        <v>49</v>
      </c>
      <c r="J17" s="7">
        <v>3.6</v>
      </c>
    </row>
    <row r="18" spans="1:10" x14ac:dyDescent="0.2">
      <c r="A18" s="4" t="s">
        <v>47</v>
      </c>
      <c r="B18" s="9" t="s">
        <v>14</v>
      </c>
      <c r="C18" s="10">
        <v>1</v>
      </c>
      <c r="E18" s="4" t="s">
        <v>48</v>
      </c>
      <c r="F18" s="11">
        <f>(2.91+3.95+4.23+3.66+4.78+5.74+11.12+5.47+3.9+5.83+1.83+2.52+4.11+4.6+3.66+1.98+0.58+5.48+2.94+2.82+2.98+6.58+3.97+2.52+4.19+4.22)/26</f>
        <v>4.0988461538461527</v>
      </c>
      <c r="G18" s="10">
        <v>26</v>
      </c>
      <c r="I18" s="6" t="s">
        <v>52</v>
      </c>
      <c r="J18" s="7">
        <v>4.41</v>
      </c>
    </row>
    <row r="19" spans="1:10" x14ac:dyDescent="0.2">
      <c r="A19" s="4" t="s">
        <v>50</v>
      </c>
      <c r="B19" s="5" t="s">
        <v>14</v>
      </c>
      <c r="C19" s="6">
        <v>0</v>
      </c>
      <c r="E19" s="4" t="s">
        <v>51</v>
      </c>
      <c r="F19" s="7">
        <f>(3.38+9.2+6.05+8.97)/4</f>
        <v>6.9</v>
      </c>
      <c r="G19" s="6">
        <v>4</v>
      </c>
      <c r="I19" s="6" t="s">
        <v>55</v>
      </c>
      <c r="J19" s="7">
        <v>4.42</v>
      </c>
    </row>
    <row r="20" spans="1:10" x14ac:dyDescent="0.2">
      <c r="A20" s="4" t="s">
        <v>53</v>
      </c>
      <c r="B20" s="7">
        <f>(3.71+2.67+3.02+1.91+2.73+2.38)/6</f>
        <v>2.7366666666666668</v>
      </c>
      <c r="C20" s="6">
        <v>6</v>
      </c>
      <c r="E20" s="4" t="s">
        <v>54</v>
      </c>
      <c r="F20" s="7">
        <f>(9.23+3.38+6.64+1.74)/4</f>
        <v>5.2474999999999996</v>
      </c>
      <c r="G20" s="6">
        <v>4</v>
      </c>
      <c r="I20" s="6" t="s">
        <v>58</v>
      </c>
      <c r="J20" s="7">
        <v>3.26</v>
      </c>
    </row>
    <row r="21" spans="1:10" ht="15.75" customHeight="1" x14ac:dyDescent="0.2">
      <c r="A21" s="4" t="s">
        <v>56</v>
      </c>
      <c r="B21" s="9" t="s">
        <v>14</v>
      </c>
      <c r="C21" s="10">
        <v>0</v>
      </c>
      <c r="E21" s="4" t="s">
        <v>57</v>
      </c>
      <c r="F21" s="11">
        <f>(3.01+4.61+3.77+3.11+3.48+2.7+3.55)/7</f>
        <v>3.4614285714285713</v>
      </c>
      <c r="G21" s="10">
        <v>7</v>
      </c>
      <c r="I21" s="6" t="s">
        <v>62</v>
      </c>
      <c r="J21" s="7">
        <v>4.5199999999999996</v>
      </c>
    </row>
    <row r="22" spans="1:10" ht="15.75" customHeight="1" x14ac:dyDescent="0.2">
      <c r="A22" s="4" t="s">
        <v>59</v>
      </c>
      <c r="B22" s="9" t="s">
        <v>14</v>
      </c>
      <c r="C22" s="10">
        <v>0</v>
      </c>
      <c r="E22" s="4" t="s">
        <v>60</v>
      </c>
      <c r="F22" s="9" t="s">
        <v>14</v>
      </c>
      <c r="G22" s="10">
        <v>0</v>
      </c>
      <c r="I22" s="6" t="s">
        <v>65</v>
      </c>
      <c r="J22" s="7">
        <v>4.53</v>
      </c>
    </row>
    <row r="23" spans="1:10" ht="15.75" customHeight="1" x14ac:dyDescent="0.2">
      <c r="A23" s="4" t="s">
        <v>63</v>
      </c>
      <c r="B23" s="5">
        <v>6.35</v>
      </c>
      <c r="C23" s="6">
        <v>1</v>
      </c>
      <c r="E23" s="4" t="s">
        <v>64</v>
      </c>
      <c r="F23" s="5">
        <v>0</v>
      </c>
      <c r="G23" s="6">
        <v>1</v>
      </c>
      <c r="I23" s="6" t="s">
        <v>68</v>
      </c>
      <c r="J23" s="7">
        <v>3.68</v>
      </c>
    </row>
    <row r="24" spans="1:10" ht="15.75" customHeight="1" x14ac:dyDescent="0.2">
      <c r="A24" s="4" t="s">
        <v>66</v>
      </c>
      <c r="B24" s="5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3.94</v>
      </c>
    </row>
    <row r="25" spans="1:10" ht="15.75" customHeight="1" x14ac:dyDescent="0.2">
      <c r="A25" s="4" t="s">
        <v>69</v>
      </c>
      <c r="B25" s="11">
        <f>(4.27+3.37+3.96)/3</f>
        <v>3.8666666666666667</v>
      </c>
      <c r="C25" s="10">
        <v>3</v>
      </c>
      <c r="E25" s="4" t="s">
        <v>70</v>
      </c>
      <c r="F25" s="11">
        <f>(3.82+0)/2</f>
        <v>1.91</v>
      </c>
      <c r="G25" s="10">
        <v>2</v>
      </c>
      <c r="I25" s="6" t="s">
        <v>74</v>
      </c>
      <c r="J25" s="7">
        <v>6.22</v>
      </c>
    </row>
    <row r="26" spans="1:10" ht="15.75" customHeight="1" x14ac:dyDescent="0.2">
      <c r="A26" s="4" t="s">
        <v>72</v>
      </c>
      <c r="B26" s="9" t="s">
        <v>14</v>
      </c>
      <c r="C26" s="10">
        <v>0</v>
      </c>
      <c r="E26" s="4" t="s">
        <v>73</v>
      </c>
      <c r="F26" s="11">
        <v>4.46</v>
      </c>
      <c r="G26" s="10">
        <v>1</v>
      </c>
      <c r="I26" s="6" t="s">
        <v>77</v>
      </c>
      <c r="J26" s="7">
        <v>6.3</v>
      </c>
    </row>
    <row r="27" spans="1:10" ht="15.75" customHeight="1" x14ac:dyDescent="0.2">
      <c r="A27" s="4" t="s">
        <v>75</v>
      </c>
      <c r="B27" s="7">
        <v>4.84</v>
      </c>
      <c r="C27" s="6">
        <v>1</v>
      </c>
      <c r="E27" s="4" t="s">
        <v>76</v>
      </c>
      <c r="F27" s="7">
        <f>(3.78+2.04+5.68+5.45+5.76+3.97)/6</f>
        <v>4.4466666666666663</v>
      </c>
      <c r="G27" s="6">
        <v>6</v>
      </c>
      <c r="I27" s="6" t="s">
        <v>80</v>
      </c>
      <c r="J27" s="7">
        <v>4.95</v>
      </c>
    </row>
    <row r="28" spans="1:10" ht="15.75" customHeight="1" x14ac:dyDescent="0.2">
      <c r="A28" s="4" t="s">
        <v>78</v>
      </c>
      <c r="B28" s="7">
        <f>(2.34+2.26+3.75+5.37+3.36+2.39+3.31)/7</f>
        <v>3.254285714285714</v>
      </c>
      <c r="C28" s="6">
        <v>7</v>
      </c>
      <c r="E28" s="4" t="s">
        <v>79</v>
      </c>
      <c r="F28" s="12">
        <f>(5.26+5.82+5.34+2.25+5.83+2.06+4.9+7.11+2.08+3.98+5.74+3.73+4.43+7.02+2.94+0)/16</f>
        <v>4.2806249999999997</v>
      </c>
      <c r="G28" s="6">
        <v>16</v>
      </c>
      <c r="I28" s="6" t="s">
        <v>83</v>
      </c>
      <c r="J28" s="7">
        <v>3.63</v>
      </c>
    </row>
    <row r="29" spans="1:10" ht="15.75" customHeight="1" x14ac:dyDescent="0.2">
      <c r="A29" s="4" t="s">
        <v>81</v>
      </c>
      <c r="B29" s="11">
        <f>(3.22+4.86+6.81+1.96)/4</f>
        <v>4.2125000000000004</v>
      </c>
      <c r="C29" s="10">
        <v>4</v>
      </c>
      <c r="E29" s="4" t="s">
        <v>82</v>
      </c>
      <c r="F29" s="9" t="s">
        <v>14</v>
      </c>
      <c r="G29" s="10">
        <v>0</v>
      </c>
      <c r="I29" s="6" t="s">
        <v>86</v>
      </c>
      <c r="J29" s="7">
        <v>5.35</v>
      </c>
    </row>
    <row r="30" spans="1:10" ht="15.75" customHeight="1" x14ac:dyDescent="0.2">
      <c r="A30" s="4" t="s">
        <v>84</v>
      </c>
      <c r="B30" s="11">
        <f>(1.61+4.26)/2</f>
        <v>2.9350000000000001</v>
      </c>
      <c r="C30" s="10">
        <v>2</v>
      </c>
      <c r="E30" s="4" t="s">
        <v>85</v>
      </c>
      <c r="F30" s="11">
        <f>(6.03+9.23)/2</f>
        <v>7.6300000000000008</v>
      </c>
      <c r="G30" s="10">
        <v>2</v>
      </c>
      <c r="I30" s="6" t="s">
        <v>89</v>
      </c>
      <c r="J30" s="7">
        <v>4.2699999999999996</v>
      </c>
    </row>
    <row r="31" spans="1:10" ht="15.75" customHeight="1" x14ac:dyDescent="0.2">
      <c r="A31" s="4" t="s">
        <v>87</v>
      </c>
      <c r="B31" s="5">
        <f>(5.96+3.8+0.88)/3</f>
        <v>3.5466666666666669</v>
      </c>
      <c r="C31" s="6">
        <v>3</v>
      </c>
      <c r="E31" s="4" t="s">
        <v>88</v>
      </c>
      <c r="F31" s="7">
        <f>(3.36+6.98)/2</f>
        <v>5.17</v>
      </c>
      <c r="G31" s="6">
        <v>2</v>
      </c>
      <c r="I31" s="6" t="s">
        <v>91</v>
      </c>
      <c r="J31" s="7">
        <v>4.92</v>
      </c>
    </row>
    <row r="32" spans="1:10" ht="15.75" customHeight="1" x14ac:dyDescent="0.2">
      <c r="A32" s="4" t="s">
        <v>65</v>
      </c>
      <c r="B32" s="7">
        <v>0.44</v>
      </c>
      <c r="C32" s="6">
        <v>1</v>
      </c>
      <c r="E32" s="4" t="s">
        <v>90</v>
      </c>
      <c r="F32" s="7">
        <f>(2.93+2.41+3.66+2.68+2.11+2.11+0.66)/7</f>
        <v>2.3657142857142857</v>
      </c>
      <c r="G32" s="6">
        <v>7</v>
      </c>
      <c r="I32" s="6" t="s">
        <v>94</v>
      </c>
      <c r="J32" s="7">
        <v>5.37</v>
      </c>
    </row>
    <row r="33" spans="1:10" ht="15.75" customHeight="1" x14ac:dyDescent="0.2">
      <c r="A33" s="4" t="s">
        <v>92</v>
      </c>
      <c r="B33" s="9">
        <v>0</v>
      </c>
      <c r="C33" s="10">
        <v>1</v>
      </c>
      <c r="E33" s="4" t="s">
        <v>93</v>
      </c>
      <c r="F33" s="9">
        <f>(4.35+4.26)/2</f>
        <v>4.3049999999999997</v>
      </c>
      <c r="G33" s="10">
        <v>2</v>
      </c>
      <c r="I33" s="6" t="s">
        <v>97</v>
      </c>
      <c r="J33" s="7">
        <v>4.04</v>
      </c>
    </row>
    <row r="34" spans="1:10" ht="15.75" customHeight="1" x14ac:dyDescent="0.2">
      <c r="A34" s="4" t="s">
        <v>95</v>
      </c>
      <c r="B34" s="9" t="s">
        <v>14</v>
      </c>
      <c r="C34" s="10">
        <v>0</v>
      </c>
      <c r="E34" s="4" t="s">
        <v>96</v>
      </c>
      <c r="F34" s="11">
        <v>5.54</v>
      </c>
      <c r="G34" s="10">
        <v>1</v>
      </c>
      <c r="I34" s="6" t="s">
        <v>100</v>
      </c>
      <c r="J34" s="7">
        <v>5.65</v>
      </c>
    </row>
    <row r="35" spans="1:10" ht="15.75" customHeight="1" x14ac:dyDescent="0.2">
      <c r="A35" s="4" t="s">
        <v>98</v>
      </c>
      <c r="B35" s="5" t="s">
        <v>14</v>
      </c>
      <c r="C35" s="6">
        <v>0</v>
      </c>
      <c r="E35" s="4" t="s">
        <v>99</v>
      </c>
      <c r="F35" s="7">
        <f>(4.51+5.02)/2</f>
        <v>4.7649999999999997</v>
      </c>
      <c r="G35" s="6">
        <v>2</v>
      </c>
      <c r="I35" s="6" t="s">
        <v>103</v>
      </c>
      <c r="J35" s="7">
        <v>4.7300000000000004</v>
      </c>
    </row>
    <row r="36" spans="1:10" ht="15.75" customHeight="1" x14ac:dyDescent="0.2">
      <c r="A36" s="4" t="s">
        <v>101</v>
      </c>
      <c r="B36" s="5" t="s">
        <v>14</v>
      </c>
      <c r="C36" s="6">
        <v>0</v>
      </c>
      <c r="E36" s="4" t="s">
        <v>102</v>
      </c>
      <c r="F36" s="7">
        <f>(3.44+4.04)/2</f>
        <v>3.74</v>
      </c>
      <c r="G36" s="6">
        <v>2</v>
      </c>
      <c r="I36" s="6" t="s">
        <v>105</v>
      </c>
      <c r="J36" s="7">
        <v>3.67</v>
      </c>
    </row>
    <row r="37" spans="1:10" ht="15.75" customHeight="1" x14ac:dyDescent="0.2">
      <c r="A37" s="4" t="s">
        <v>104</v>
      </c>
      <c r="B37" s="9" t="s">
        <v>14</v>
      </c>
      <c r="C37" s="10">
        <v>0</v>
      </c>
      <c r="I37" s="6" t="s">
        <v>106</v>
      </c>
      <c r="J37" s="7">
        <v>3.95</v>
      </c>
    </row>
    <row r="38" spans="1:10" ht="15.75" customHeight="1" x14ac:dyDescent="0.2">
      <c r="I38" s="6" t="s">
        <v>107</v>
      </c>
      <c r="J38" s="7">
        <v>3.46</v>
      </c>
    </row>
    <row r="39" spans="1:10" ht="15.75" customHeight="1" x14ac:dyDescent="0.2">
      <c r="I39" s="6" t="s">
        <v>108</v>
      </c>
      <c r="J39" s="7">
        <v>4.1900000000000004</v>
      </c>
    </row>
    <row r="40" spans="1:10" ht="15.75" customHeight="1" x14ac:dyDescent="0.2">
      <c r="I40" s="6" t="s">
        <v>109</v>
      </c>
      <c r="J40" s="7">
        <v>4.26</v>
      </c>
    </row>
    <row r="41" spans="1:10" ht="15.75" customHeight="1" x14ac:dyDescent="0.2">
      <c r="I41" s="6" t="s">
        <v>110</v>
      </c>
      <c r="J41" s="7">
        <v>4.08</v>
      </c>
    </row>
    <row r="42" spans="1:10" ht="15.75" customHeight="1" x14ac:dyDescent="0.2">
      <c r="I42" s="6" t="s">
        <v>111</v>
      </c>
      <c r="J42" s="7">
        <v>4.13</v>
      </c>
    </row>
    <row r="43" spans="1:10" ht="15.75" customHeight="1" x14ac:dyDescent="0.2">
      <c r="I43" s="6" t="s">
        <v>112</v>
      </c>
      <c r="J43" s="7">
        <v>5.58</v>
      </c>
    </row>
    <row r="44" spans="1:10" ht="15.75" customHeight="1" x14ac:dyDescent="0.2">
      <c r="I44" s="6" t="s">
        <v>113</v>
      </c>
      <c r="J44" s="7">
        <v>4.26</v>
      </c>
    </row>
    <row r="45" spans="1:10" ht="15.75" customHeight="1" x14ac:dyDescent="0.2">
      <c r="I45" s="6" t="s">
        <v>114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H1"/>
    <mergeCell ref="A2:H2"/>
    <mergeCell ref="I3:J3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122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123</v>
      </c>
    </row>
    <row r="4" spans="1:10" x14ac:dyDescent="0.2">
      <c r="A4" s="4" t="s">
        <v>4</v>
      </c>
      <c r="B4" s="24">
        <v>5.13</v>
      </c>
      <c r="C4" s="6">
        <v>1</v>
      </c>
      <c r="E4" s="4" t="s">
        <v>5</v>
      </c>
      <c r="F4" s="5">
        <f>(0+6.39)/2</f>
        <v>3.1949999999999998</v>
      </c>
      <c r="G4" s="6">
        <v>2</v>
      </c>
      <c r="I4" s="6" t="s">
        <v>9</v>
      </c>
      <c r="J4" s="7">
        <v>5.2</v>
      </c>
    </row>
    <row r="5" spans="1:10" x14ac:dyDescent="0.2">
      <c r="A5" s="4" t="s">
        <v>7</v>
      </c>
      <c r="B5" s="9">
        <f>(12.31+10.99+12.91+7.5+9.87+11.09+5.9+7.51+10.47+7.63+8.84+10.98+8.28+6.16+7.93+12.74+6.41+4.64+7.8+11.26+12.72+7.16+11.83+10.19+11.81+9.69+8.9+7.27+11.98+13.47+12.24+13.58+10.06+19.7+9.92)/35</f>
        <v>10.049714285714288</v>
      </c>
      <c r="C5" s="10">
        <v>35</v>
      </c>
      <c r="E5" s="4" t="s">
        <v>8</v>
      </c>
      <c r="F5" s="9">
        <f>(3.44+4.25+3.32+4.71+0.66+1.24)/6</f>
        <v>2.9366666666666661</v>
      </c>
      <c r="G5" s="10">
        <v>6</v>
      </c>
      <c r="I5" s="6" t="s">
        <v>12</v>
      </c>
      <c r="J5" s="7">
        <v>4.3600000000000003</v>
      </c>
    </row>
    <row r="6" spans="1:10" x14ac:dyDescent="0.2">
      <c r="A6" s="4" t="s">
        <v>10</v>
      </c>
      <c r="B6" s="9">
        <f>(11.56+8.68)/2</f>
        <v>10.120000000000001</v>
      </c>
      <c r="C6" s="10">
        <v>2</v>
      </c>
      <c r="E6" s="4" t="s">
        <v>11</v>
      </c>
      <c r="F6" s="9">
        <f>(3.95+3.45+2.71+3.47+2.73+3.8+4.05+2.24+3.69+4.26+2.47+1.67+3.54+4.24+3.98+2.3+3.94)/17</f>
        <v>3.3229411764705881</v>
      </c>
      <c r="G6" s="10">
        <v>17</v>
      </c>
      <c r="I6" s="6" t="s">
        <v>16</v>
      </c>
      <c r="J6" s="7">
        <v>4.45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4</v>
      </c>
      <c r="G7" s="6">
        <v>1</v>
      </c>
      <c r="I7" s="6" t="s">
        <v>19</v>
      </c>
      <c r="J7" s="7">
        <v>4.88</v>
      </c>
    </row>
    <row r="8" spans="1:10" x14ac:dyDescent="0.2">
      <c r="A8" s="4" t="s">
        <v>17</v>
      </c>
      <c r="B8" s="24">
        <f>(3.36+3.65+2.93+2.67)/4</f>
        <v>3.1524999999999999</v>
      </c>
      <c r="C8" s="6">
        <v>4</v>
      </c>
      <c r="E8" s="4" t="s">
        <v>18</v>
      </c>
      <c r="F8" s="5">
        <f>(3.16+1.95+2.26+1.94+0.76+1.27+1.85+2.78+0.96)/9</f>
        <v>1.8811111111111112</v>
      </c>
      <c r="G8" s="6">
        <v>9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9">
        <f>(1.82+2.35+2.65+3.27)/4</f>
        <v>2.5225</v>
      </c>
      <c r="G9" s="10">
        <v>4</v>
      </c>
      <c r="I9" s="6" t="s">
        <v>25</v>
      </c>
      <c r="J9" s="7">
        <v>4.3499999999999996</v>
      </c>
    </row>
    <row r="10" spans="1:10" x14ac:dyDescent="0.2">
      <c r="A10" s="4" t="s">
        <v>23</v>
      </c>
      <c r="B10" s="9">
        <v>6.11</v>
      </c>
      <c r="C10" s="10">
        <v>1</v>
      </c>
      <c r="E10" s="4" t="s">
        <v>24</v>
      </c>
      <c r="F10" s="9">
        <f>(8.69+10.08+9.75+7.94+7.9)/5</f>
        <v>8.8719999999999999</v>
      </c>
      <c r="G10" s="10">
        <v>5</v>
      </c>
      <c r="I10" s="6" t="s">
        <v>28</v>
      </c>
      <c r="J10" s="7">
        <v>4.6900000000000004</v>
      </c>
    </row>
    <row r="11" spans="1:10" x14ac:dyDescent="0.2">
      <c r="A11" s="4" t="s">
        <v>26</v>
      </c>
      <c r="B11" s="24">
        <f>(7.73+4.18)/2</f>
        <v>5.9550000000000001</v>
      </c>
      <c r="C11" s="6">
        <v>2</v>
      </c>
      <c r="E11" s="4" t="s">
        <v>27</v>
      </c>
      <c r="F11" s="5">
        <f>(2.63+2.26+1.51+2.63+2.98+4.08+2.18+3.29)/8</f>
        <v>2.6949999999999998</v>
      </c>
      <c r="G11" s="6">
        <v>8</v>
      </c>
      <c r="I11" s="6" t="s">
        <v>31</v>
      </c>
      <c r="J11" s="7">
        <v>6.46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4.51</v>
      </c>
    </row>
    <row r="13" spans="1:10" x14ac:dyDescent="0.2">
      <c r="A13" s="4" t="s">
        <v>32</v>
      </c>
      <c r="B13" s="9" t="s">
        <v>14</v>
      </c>
      <c r="C13" s="10">
        <v>0</v>
      </c>
      <c r="E13" s="4" t="s">
        <v>33</v>
      </c>
      <c r="F13" s="9" t="s">
        <v>14</v>
      </c>
      <c r="G13" s="10">
        <v>0</v>
      </c>
      <c r="I13" s="6" t="s">
        <v>37</v>
      </c>
      <c r="J13" s="7">
        <v>3.39</v>
      </c>
    </row>
    <row r="14" spans="1:10" x14ac:dyDescent="0.2">
      <c r="A14" s="4" t="s">
        <v>35</v>
      </c>
      <c r="B14" s="9">
        <v>3.6</v>
      </c>
      <c r="C14" s="10">
        <v>1</v>
      </c>
      <c r="E14" s="4" t="s">
        <v>36</v>
      </c>
      <c r="F14" s="9">
        <f>(3.07+3.15+3.1+2.41+2.5+3.43+3.32+4.61+3.41+4.07+4.66+3.17+2.53+3.74+2.43+3.08+4.02+2.29+3.9+3.07+3.52+0)/22</f>
        <v>3.1581818181818178</v>
      </c>
      <c r="G14" s="10">
        <v>22</v>
      </c>
      <c r="I14" s="6" t="s">
        <v>40</v>
      </c>
      <c r="J14" s="7">
        <v>4.28</v>
      </c>
    </row>
    <row r="15" spans="1:10" x14ac:dyDescent="0.2">
      <c r="A15" s="4" t="s">
        <v>38</v>
      </c>
      <c r="B15" s="24">
        <v>6.66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4.71</v>
      </c>
    </row>
    <row r="16" spans="1:10" x14ac:dyDescent="0.2">
      <c r="A16" s="4" t="s">
        <v>41</v>
      </c>
      <c r="B16" s="24">
        <f>(7.31+9.22+6.83+0.23)/4</f>
        <v>5.8975</v>
      </c>
      <c r="C16" s="6">
        <v>4</v>
      </c>
      <c r="E16" s="4" t="s">
        <v>42</v>
      </c>
      <c r="F16" s="5">
        <v>3.07</v>
      </c>
      <c r="G16" s="6">
        <v>1</v>
      </c>
      <c r="I16" s="6" t="s">
        <v>46</v>
      </c>
      <c r="J16" s="7">
        <v>4.0999999999999996</v>
      </c>
    </row>
    <row r="17" spans="1:10" x14ac:dyDescent="0.2">
      <c r="A17" s="4" t="s">
        <v>44</v>
      </c>
      <c r="B17" s="9">
        <v>4.2</v>
      </c>
      <c r="C17" s="10">
        <v>1</v>
      </c>
      <c r="E17" s="4" t="s">
        <v>45</v>
      </c>
      <c r="F17" s="9">
        <f>(4.6+3.27+3.27+3.71+2.75+3.9+3.53+5.7+2.67+4.14)/10</f>
        <v>3.754</v>
      </c>
      <c r="G17" s="10">
        <v>10</v>
      </c>
      <c r="I17" s="6" t="s">
        <v>49</v>
      </c>
      <c r="J17" s="7">
        <v>5.08</v>
      </c>
    </row>
    <row r="18" spans="1:10" x14ac:dyDescent="0.2">
      <c r="A18" s="4" t="s">
        <v>47</v>
      </c>
      <c r="B18" s="9" t="s">
        <v>14</v>
      </c>
      <c r="C18" s="10">
        <v>0</v>
      </c>
      <c r="E18" s="4" t="s">
        <v>48</v>
      </c>
      <c r="F18" s="9">
        <f>(11.98+9.76+8.18+9.01+8.18+9.95+11.03+7.46+8.8+7.73+9.51+0.4+10.13+17.71+10.64+9.94+10.77+5.78+8.57+10.75+5.74+12.28+13.02+8.53+6.66+0.13+8.64+8.23)/28</f>
        <v>8.9110714285714288</v>
      </c>
      <c r="G18" s="10">
        <v>28</v>
      </c>
      <c r="I18" s="6" t="s">
        <v>52</v>
      </c>
      <c r="J18" s="7">
        <v>5.14</v>
      </c>
    </row>
    <row r="19" spans="1:10" x14ac:dyDescent="0.2">
      <c r="A19" s="4" t="s">
        <v>50</v>
      </c>
      <c r="B19" s="24" t="s">
        <v>14</v>
      </c>
      <c r="C19" s="6">
        <v>0</v>
      </c>
      <c r="E19" s="4" t="s">
        <v>51</v>
      </c>
      <c r="F19" s="5">
        <f>(7.77+9.52+8.68+9.89)/4</f>
        <v>8.9649999999999999</v>
      </c>
      <c r="G19" s="6">
        <v>4</v>
      </c>
      <c r="I19" s="6" t="s">
        <v>55</v>
      </c>
      <c r="J19" s="7">
        <v>5.7</v>
      </c>
    </row>
    <row r="20" spans="1:10" x14ac:dyDescent="0.2">
      <c r="A20" s="4" t="s">
        <v>53</v>
      </c>
      <c r="B20" s="24">
        <f>(3.32+4.26+2.9+2.15+1.85+2.36)/6</f>
        <v>2.8066666666666666</v>
      </c>
      <c r="C20" s="6">
        <v>6</v>
      </c>
      <c r="E20" s="4" t="s">
        <v>54</v>
      </c>
      <c r="F20" s="5">
        <f>(12.51+5.71+5.21+6.37)/4</f>
        <v>7.45</v>
      </c>
      <c r="G20" s="6">
        <v>4</v>
      </c>
      <c r="I20" s="6" t="s">
        <v>58</v>
      </c>
      <c r="J20" s="7">
        <v>4.5999999999999996</v>
      </c>
    </row>
    <row r="21" spans="1:10" ht="15.75" customHeight="1" x14ac:dyDescent="0.2">
      <c r="A21" s="4" t="s">
        <v>56</v>
      </c>
      <c r="B21" s="9" t="s">
        <v>14</v>
      </c>
      <c r="C21" s="10">
        <v>0</v>
      </c>
      <c r="E21" s="4" t="s">
        <v>57</v>
      </c>
      <c r="F21" s="9">
        <f>(2.76+8.04+5.82+3.58+2.44+3.53+2.61)/7</f>
        <v>4.1114285714285712</v>
      </c>
      <c r="G21" s="10">
        <v>7</v>
      </c>
      <c r="I21" s="6" t="s">
        <v>62</v>
      </c>
      <c r="J21" s="7">
        <v>5.52</v>
      </c>
    </row>
    <row r="22" spans="1:10" ht="15.75" customHeight="1" x14ac:dyDescent="0.2">
      <c r="A22" s="4" t="s">
        <v>59</v>
      </c>
      <c r="B22" s="9" t="s">
        <v>14</v>
      </c>
      <c r="C22" s="10">
        <v>0</v>
      </c>
      <c r="E22" s="4" t="s">
        <v>60</v>
      </c>
      <c r="F22" s="9" t="s">
        <v>14</v>
      </c>
      <c r="G22" s="10">
        <v>0</v>
      </c>
      <c r="I22" s="6" t="s">
        <v>65</v>
      </c>
      <c r="J22" s="7">
        <v>4.92</v>
      </c>
    </row>
    <row r="23" spans="1:10" ht="15.75" customHeight="1" x14ac:dyDescent="0.2">
      <c r="A23" s="4" t="s">
        <v>63</v>
      </c>
      <c r="B23" s="24">
        <v>7.99</v>
      </c>
      <c r="C23" s="6">
        <v>1</v>
      </c>
      <c r="E23" s="4" t="s">
        <v>64</v>
      </c>
      <c r="F23" s="5" t="s">
        <v>14</v>
      </c>
      <c r="G23" s="6">
        <v>0</v>
      </c>
      <c r="I23" s="6" t="s">
        <v>68</v>
      </c>
      <c r="J23" s="7">
        <v>5.79</v>
      </c>
    </row>
    <row r="24" spans="1:10" ht="15.75" customHeight="1" x14ac:dyDescent="0.2">
      <c r="A24" s="4" t="s">
        <v>66</v>
      </c>
      <c r="B24" s="24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5</v>
      </c>
    </row>
    <row r="25" spans="1:10" ht="15.75" customHeight="1" x14ac:dyDescent="0.2">
      <c r="A25" s="4" t="s">
        <v>69</v>
      </c>
      <c r="B25" s="9">
        <f>(2.41+2.94+3.62)/3</f>
        <v>2.9899999999999998</v>
      </c>
      <c r="C25" s="10">
        <v>3</v>
      </c>
      <c r="E25" s="4" t="s">
        <v>70</v>
      </c>
      <c r="F25" s="9">
        <f>(5.46+4.42)/2</f>
        <v>4.9399999999999995</v>
      </c>
      <c r="G25" s="10">
        <v>2</v>
      </c>
      <c r="I25" s="6" t="s">
        <v>74</v>
      </c>
      <c r="J25" s="7">
        <v>4.83</v>
      </c>
    </row>
    <row r="26" spans="1:10" ht="15.75" customHeight="1" x14ac:dyDescent="0.2">
      <c r="A26" s="4" t="s">
        <v>72</v>
      </c>
      <c r="B26" s="9" t="s">
        <v>14</v>
      </c>
      <c r="C26" s="10">
        <v>0</v>
      </c>
      <c r="E26" s="4" t="s">
        <v>73</v>
      </c>
      <c r="F26" s="9">
        <v>8.1999999999999993</v>
      </c>
      <c r="G26" s="10">
        <v>1</v>
      </c>
      <c r="I26" s="6" t="s">
        <v>77</v>
      </c>
      <c r="J26" s="7">
        <v>4.95</v>
      </c>
    </row>
    <row r="27" spans="1:10" ht="15.75" customHeight="1" x14ac:dyDescent="0.2">
      <c r="A27" s="4" t="s">
        <v>75</v>
      </c>
      <c r="B27" s="24" t="s">
        <v>14</v>
      </c>
      <c r="C27" s="6">
        <v>0</v>
      </c>
      <c r="E27" s="4" t="s">
        <v>76</v>
      </c>
      <c r="F27" s="5">
        <f>(2.23+4.53+4.89+2.87+3.87+3.73)/6</f>
        <v>3.686666666666667</v>
      </c>
      <c r="G27" s="6">
        <v>6</v>
      </c>
      <c r="I27" s="6" t="s">
        <v>80</v>
      </c>
      <c r="J27" s="7">
        <v>4.3099999999999996</v>
      </c>
    </row>
    <row r="28" spans="1:10" ht="15.75" customHeight="1" x14ac:dyDescent="0.2">
      <c r="A28" s="4" t="s">
        <v>78</v>
      </c>
      <c r="B28" s="24">
        <f>(3.91+4.66+5.33+4.39+2.47+5.67+4.74)/7</f>
        <v>4.4528571428571428</v>
      </c>
      <c r="C28" s="6">
        <v>7</v>
      </c>
      <c r="E28" s="4" t="s">
        <v>79</v>
      </c>
      <c r="F28" s="5">
        <f>(4.82+2.86+5.3+0+3.5+4.71+3.84+4.98+4.08+3.54+1.65+4.12+2.46+2.86+4.66+4.13+0)/17</f>
        <v>3.3829411764705881</v>
      </c>
      <c r="G28" s="6">
        <v>17</v>
      </c>
      <c r="I28" s="6" t="s">
        <v>83</v>
      </c>
      <c r="J28" s="7">
        <v>3.49</v>
      </c>
    </row>
    <row r="29" spans="1:10" ht="15.75" customHeight="1" x14ac:dyDescent="0.2">
      <c r="A29" s="4" t="s">
        <v>81</v>
      </c>
      <c r="B29" s="9">
        <f>(3.04+5.95+3.95+4.51)/4</f>
        <v>4.3625000000000007</v>
      </c>
      <c r="C29" s="10">
        <v>4</v>
      </c>
      <c r="E29" s="4" t="s">
        <v>82</v>
      </c>
      <c r="F29" s="9" t="s">
        <v>14</v>
      </c>
      <c r="G29" s="10">
        <v>0</v>
      </c>
      <c r="I29" s="6" t="s">
        <v>86</v>
      </c>
      <c r="J29" s="7">
        <v>4.87</v>
      </c>
    </row>
    <row r="30" spans="1:10" ht="15.75" customHeight="1" x14ac:dyDescent="0.2">
      <c r="A30" s="4" t="s">
        <v>84</v>
      </c>
      <c r="B30" s="9">
        <f>(7.34+12.22)/2</f>
        <v>9.7800000000000011</v>
      </c>
      <c r="C30" s="10">
        <v>2</v>
      </c>
      <c r="E30" s="4" t="s">
        <v>85</v>
      </c>
      <c r="F30" s="9">
        <f>(3.07+3.14)/2</f>
        <v>3.105</v>
      </c>
      <c r="G30" s="10">
        <v>2</v>
      </c>
      <c r="I30" s="6" t="s">
        <v>89</v>
      </c>
      <c r="J30" s="7">
        <v>4.18</v>
      </c>
    </row>
    <row r="31" spans="1:10" ht="15.75" customHeight="1" x14ac:dyDescent="0.2">
      <c r="A31" s="4" t="s">
        <v>87</v>
      </c>
      <c r="B31" s="24">
        <f>(2.9+3.5+4.2)/3</f>
        <v>3.5333333333333337</v>
      </c>
      <c r="C31" s="6">
        <v>3</v>
      </c>
      <c r="E31" s="4" t="s">
        <v>88</v>
      </c>
      <c r="F31" s="5">
        <f>(5.11+4.38)/2</f>
        <v>4.7450000000000001</v>
      </c>
      <c r="G31" s="6">
        <v>2</v>
      </c>
      <c r="I31" s="6" t="s">
        <v>91</v>
      </c>
      <c r="J31" s="7">
        <v>4.4800000000000004</v>
      </c>
    </row>
    <row r="32" spans="1:10" ht="15.75" customHeight="1" x14ac:dyDescent="0.2">
      <c r="A32" s="4" t="s">
        <v>65</v>
      </c>
      <c r="B32" s="24" t="s">
        <v>14</v>
      </c>
      <c r="C32" s="6">
        <v>0</v>
      </c>
      <c r="E32" s="4" t="s">
        <v>90</v>
      </c>
      <c r="F32" s="5">
        <f>(3.3+2.72+2.98+6.36+4.94+4.92+1.07)/7</f>
        <v>3.7557142857142858</v>
      </c>
      <c r="G32" s="6">
        <v>7</v>
      </c>
      <c r="I32" s="6" t="s">
        <v>94</v>
      </c>
      <c r="J32" s="7">
        <v>1.73</v>
      </c>
    </row>
    <row r="33" spans="1:10" ht="15.75" customHeight="1" x14ac:dyDescent="0.2">
      <c r="A33" s="4" t="s">
        <v>92</v>
      </c>
      <c r="B33" s="9">
        <v>0.46</v>
      </c>
      <c r="C33" s="10">
        <v>1</v>
      </c>
      <c r="E33" s="4" t="s">
        <v>93</v>
      </c>
      <c r="F33" s="9">
        <f>(3.96+2.73)/2</f>
        <v>3.3449999999999998</v>
      </c>
      <c r="G33" s="10">
        <v>2</v>
      </c>
      <c r="I33" s="6" t="s">
        <v>97</v>
      </c>
      <c r="J33" s="7">
        <v>4.34</v>
      </c>
    </row>
    <row r="34" spans="1:10" ht="15.75" customHeight="1" x14ac:dyDescent="0.2">
      <c r="A34" s="4" t="s">
        <v>95</v>
      </c>
      <c r="B34" s="9" t="s">
        <v>14</v>
      </c>
      <c r="C34" s="10">
        <v>0</v>
      </c>
      <c r="E34" s="4" t="s">
        <v>96</v>
      </c>
      <c r="F34" s="9">
        <v>8.89</v>
      </c>
      <c r="G34" s="10">
        <v>1</v>
      </c>
      <c r="I34" s="6" t="s">
        <v>100</v>
      </c>
      <c r="J34" s="7">
        <v>4.4000000000000004</v>
      </c>
    </row>
    <row r="35" spans="1:10" ht="15.75" customHeight="1" x14ac:dyDescent="0.2">
      <c r="A35" s="4" t="s">
        <v>98</v>
      </c>
      <c r="B35" s="24" t="s">
        <v>14</v>
      </c>
      <c r="C35" s="6">
        <v>0</v>
      </c>
      <c r="E35" s="4" t="s">
        <v>99</v>
      </c>
      <c r="F35" s="5">
        <f>(9.13+10.94)/2</f>
        <v>10.035</v>
      </c>
      <c r="G35" s="6">
        <v>2</v>
      </c>
      <c r="I35" s="6" t="s">
        <v>103</v>
      </c>
      <c r="J35" s="7">
        <v>4.67</v>
      </c>
    </row>
    <row r="36" spans="1:10" ht="15.75" customHeight="1" x14ac:dyDescent="0.2">
      <c r="A36" s="4" t="s">
        <v>101</v>
      </c>
      <c r="B36" s="24" t="s">
        <v>14</v>
      </c>
      <c r="C36" s="6">
        <v>0</v>
      </c>
      <c r="E36" s="4" t="s">
        <v>102</v>
      </c>
      <c r="F36" s="5">
        <f>(8.97+5.33+6.68)/3</f>
        <v>6.9933333333333332</v>
      </c>
      <c r="G36" s="6">
        <v>3</v>
      </c>
      <c r="I36" s="6" t="s">
        <v>105</v>
      </c>
      <c r="J36" s="7">
        <v>4.08</v>
      </c>
    </row>
    <row r="37" spans="1:10" ht="15.75" customHeight="1" x14ac:dyDescent="0.2">
      <c r="A37" s="4" t="s">
        <v>104</v>
      </c>
      <c r="B37" s="9" t="s">
        <v>14</v>
      </c>
      <c r="C37" s="10">
        <v>0</v>
      </c>
      <c r="I37" s="6" t="s">
        <v>106</v>
      </c>
      <c r="J37" s="7">
        <v>3.95</v>
      </c>
    </row>
    <row r="38" spans="1:10" ht="15.75" customHeight="1" x14ac:dyDescent="0.2">
      <c r="I38" s="6" t="s">
        <v>107</v>
      </c>
      <c r="J38" s="7">
        <v>5.46</v>
      </c>
    </row>
    <row r="39" spans="1:10" ht="15.75" customHeight="1" x14ac:dyDescent="0.2">
      <c r="I39" s="6" t="s">
        <v>108</v>
      </c>
      <c r="J39" s="7">
        <v>3.82</v>
      </c>
    </row>
    <row r="40" spans="1:10" ht="15.75" customHeight="1" x14ac:dyDescent="0.2">
      <c r="I40" s="6" t="s">
        <v>109</v>
      </c>
      <c r="J40" s="7">
        <v>4.25</v>
      </c>
    </row>
    <row r="41" spans="1:10" ht="15.75" customHeight="1" x14ac:dyDescent="0.2">
      <c r="I41" s="6" t="s">
        <v>110</v>
      </c>
      <c r="J41" s="7">
        <v>5.22</v>
      </c>
    </row>
    <row r="42" spans="1:10" ht="15.75" customHeight="1" x14ac:dyDescent="0.2">
      <c r="I42" s="6" t="s">
        <v>111</v>
      </c>
      <c r="J42" s="7">
        <v>3.81</v>
      </c>
    </row>
    <row r="43" spans="1:10" ht="15.75" customHeight="1" x14ac:dyDescent="0.2">
      <c r="I43" s="6" t="s">
        <v>112</v>
      </c>
      <c r="J43" s="7">
        <v>4.53</v>
      </c>
    </row>
    <row r="44" spans="1:10" ht="15.75" customHeight="1" x14ac:dyDescent="0.2">
      <c r="I44" s="6" t="s">
        <v>113</v>
      </c>
      <c r="J44" s="7">
        <v>4.07</v>
      </c>
    </row>
    <row r="45" spans="1:10" ht="15.75" customHeight="1" x14ac:dyDescent="0.2">
      <c r="I45" s="6" t="s">
        <v>114</v>
      </c>
      <c r="J45" s="7">
        <v>4.22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124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125</v>
      </c>
    </row>
    <row r="4" spans="1:10" x14ac:dyDescent="0.2">
      <c r="A4" s="4" t="s">
        <v>4</v>
      </c>
      <c r="B4" s="24">
        <f>(3.41+1)/2</f>
        <v>2.2050000000000001</v>
      </c>
      <c r="C4" s="25">
        <v>2</v>
      </c>
      <c r="E4" s="4" t="s">
        <v>5</v>
      </c>
      <c r="F4" s="5">
        <f>(0+6.26)/2</f>
        <v>3.13</v>
      </c>
      <c r="G4" s="25">
        <v>2</v>
      </c>
      <c r="I4" s="6" t="s">
        <v>9</v>
      </c>
      <c r="J4" s="7">
        <v>5.94</v>
      </c>
    </row>
    <row r="5" spans="1:10" x14ac:dyDescent="0.2">
      <c r="A5" s="4" t="s">
        <v>7</v>
      </c>
      <c r="B5" s="9">
        <f>(6.91+3.64+6.38+8.86+2.8+5.13+8.92+6.03+9.68+8.12+2.18+6.46+5.62+3.81+8.18+6.26+0.39+5.56+4.25+3.86+5.12+4.39+4.36+3.44+4.7+5.78+4.71+4.51+5.21+6.96+5.47+5.88+5.54+4.83+4.63+5.42)/36</f>
        <v>5.3886111111111115</v>
      </c>
      <c r="C5" s="26">
        <v>36</v>
      </c>
      <c r="E5" s="4" t="s">
        <v>8</v>
      </c>
      <c r="F5" s="9">
        <f>(3.64+2.83+4.75+5.21+4.79)/5</f>
        <v>4.2439999999999998</v>
      </c>
      <c r="G5" s="26">
        <v>5</v>
      </c>
      <c r="I5" s="6" t="s">
        <v>12</v>
      </c>
      <c r="J5" s="7">
        <v>4.95</v>
      </c>
    </row>
    <row r="6" spans="1:10" x14ac:dyDescent="0.2">
      <c r="A6" s="4" t="s">
        <v>10</v>
      </c>
      <c r="B6" s="9">
        <f>(2.7+3.25)/2</f>
        <v>2.9750000000000001</v>
      </c>
      <c r="C6" s="26">
        <v>2</v>
      </c>
      <c r="E6" s="4" t="s">
        <v>11</v>
      </c>
      <c r="F6" s="9">
        <f>(5.12+7.54+5.33+4.6+4.22+7.14+5.85+5.8+3.25+6+5.56+5.84+4.62+6+5.46+4.57+5.46)/17</f>
        <v>5.4329411764705879</v>
      </c>
      <c r="G6" s="26">
        <v>17</v>
      </c>
      <c r="I6" s="6" t="s">
        <v>16</v>
      </c>
      <c r="J6" s="7">
        <v>5.31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5.93</v>
      </c>
      <c r="G7" s="25">
        <v>1</v>
      </c>
      <c r="I7" s="6" t="s">
        <v>19</v>
      </c>
      <c r="J7" s="7">
        <v>4.99</v>
      </c>
    </row>
    <row r="8" spans="1:10" x14ac:dyDescent="0.2">
      <c r="A8" s="4" t="s">
        <v>17</v>
      </c>
      <c r="B8" s="24">
        <f>(7.79+7.23+5.7+5.98)/4</f>
        <v>6.6749999999999998</v>
      </c>
      <c r="C8" s="25">
        <v>4</v>
      </c>
      <c r="E8" s="4" t="s">
        <v>18</v>
      </c>
      <c r="F8" s="5">
        <f>(4.6+4.53+4.91+3.76+4.37+4.14+0.59+6.3+3.18)/9</f>
        <v>4.0422222222222217</v>
      </c>
      <c r="G8" s="25">
        <v>9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(6.6+4.65+4.71+7.32)/4</f>
        <v>5.82</v>
      </c>
      <c r="G9" s="26">
        <v>4</v>
      </c>
      <c r="I9" s="6" t="s">
        <v>25</v>
      </c>
      <c r="J9" s="7">
        <v>5.1100000000000003</v>
      </c>
    </row>
    <row r="10" spans="1:10" x14ac:dyDescent="0.2">
      <c r="A10" s="4" t="s">
        <v>23</v>
      </c>
      <c r="B10" s="9">
        <v>4.43</v>
      </c>
      <c r="C10" s="26">
        <v>1</v>
      </c>
      <c r="E10" s="4" t="s">
        <v>24</v>
      </c>
      <c r="F10" s="9">
        <f>(5.37+5.42+2.99+1.83)/4</f>
        <v>3.9024999999999999</v>
      </c>
      <c r="G10" s="26">
        <v>4</v>
      </c>
      <c r="I10" s="6" t="s">
        <v>28</v>
      </c>
      <c r="J10" s="7">
        <v>4.33</v>
      </c>
    </row>
    <row r="11" spans="1:10" x14ac:dyDescent="0.2">
      <c r="A11" s="4" t="s">
        <v>26</v>
      </c>
      <c r="B11" s="24">
        <f>(5.54+2.58)/2</f>
        <v>4.0600000000000005</v>
      </c>
      <c r="C11" s="25">
        <v>2</v>
      </c>
      <c r="E11" s="4" t="s">
        <v>27</v>
      </c>
      <c r="F11" s="5">
        <f>(10.1+6.29+3.5+5.97+5.81+4.99+7.23+10.44)/8</f>
        <v>6.7912499999999998</v>
      </c>
      <c r="G11" s="25">
        <v>8</v>
      </c>
      <c r="I11" s="6" t="s">
        <v>31</v>
      </c>
      <c r="J11" s="7">
        <v>8.14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5.07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5.52</v>
      </c>
    </row>
    <row r="14" spans="1:10" x14ac:dyDescent="0.2">
      <c r="A14" s="4" t="s">
        <v>35</v>
      </c>
      <c r="B14" s="9">
        <v>5.3</v>
      </c>
      <c r="C14" s="26">
        <v>1</v>
      </c>
      <c r="E14" s="4" t="s">
        <v>36</v>
      </c>
      <c r="F14" s="9">
        <f>(7.76+6.82+4.92+4.36+5.35+3.88+7.81+6.01+14.15+12.4+5.89+8.64+8.74+10.41+6.89+12.26+7.85+6.33+8.98+7.23+6.59+0+9.52+0)/24</f>
        <v>7.1995833333333339</v>
      </c>
      <c r="G14" s="26">
        <v>24</v>
      </c>
      <c r="I14" s="6" t="s">
        <v>40</v>
      </c>
      <c r="J14" s="7">
        <v>5.0599999999999996</v>
      </c>
    </row>
    <row r="15" spans="1:10" x14ac:dyDescent="0.2">
      <c r="A15" s="4" t="s">
        <v>38</v>
      </c>
      <c r="B15" s="24">
        <v>5.99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6</v>
      </c>
    </row>
    <row r="16" spans="1:10" x14ac:dyDescent="0.2">
      <c r="A16" s="4" t="s">
        <v>41</v>
      </c>
      <c r="B16" s="24">
        <f>(5.23+5.64+10.96)/3</f>
        <v>7.2766666666666673</v>
      </c>
      <c r="C16" s="25">
        <v>3</v>
      </c>
      <c r="E16" s="4" t="s">
        <v>42</v>
      </c>
      <c r="F16" s="5">
        <v>4.54</v>
      </c>
      <c r="G16" s="25">
        <v>1</v>
      </c>
      <c r="I16" s="6" t="s">
        <v>46</v>
      </c>
      <c r="J16" s="7">
        <v>4.5599999999999996</v>
      </c>
    </row>
    <row r="17" spans="1:10" x14ac:dyDescent="0.2">
      <c r="A17" s="4" t="s">
        <v>44</v>
      </c>
      <c r="B17" s="9">
        <v>4.96</v>
      </c>
      <c r="C17" s="26">
        <v>1</v>
      </c>
      <c r="E17" s="4" t="s">
        <v>45</v>
      </c>
      <c r="F17" s="9">
        <f>(3.38+3.48+4.83+3.44+2.88+3.34+4.76+5.9+3.39+4.49)/10</f>
        <v>3.9889999999999999</v>
      </c>
      <c r="G17" s="26">
        <v>10</v>
      </c>
      <c r="I17" s="6" t="s">
        <v>49</v>
      </c>
      <c r="J17" s="7">
        <v>5.91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(9.41+9.83+6.28+7.37+9.72+10.77+4.73+7.26+9.11+4.58+1.37+7.5+8.8+6.79+9.69+4.92+9.41+6.11+9.44+10.17+4.23+6.95+5.31+6.96+7.57)/25</f>
        <v>7.3711999999999991</v>
      </c>
      <c r="G18" s="26">
        <v>25</v>
      </c>
      <c r="I18" s="6" t="s">
        <v>52</v>
      </c>
      <c r="J18" s="7">
        <v>6.23</v>
      </c>
    </row>
    <row r="19" spans="1:10" x14ac:dyDescent="0.2">
      <c r="A19" s="4" t="s">
        <v>50</v>
      </c>
      <c r="B19" s="24" t="s">
        <v>14</v>
      </c>
      <c r="C19" s="25">
        <v>0</v>
      </c>
      <c r="E19" s="4" t="s">
        <v>51</v>
      </c>
      <c r="F19" s="5">
        <f>(4.84+6.3+9.18+8.77)/4</f>
        <v>7.2725</v>
      </c>
      <c r="G19" s="25">
        <v>4</v>
      </c>
      <c r="I19" s="6" t="s">
        <v>55</v>
      </c>
      <c r="J19" s="7">
        <v>5.96</v>
      </c>
    </row>
    <row r="20" spans="1:10" x14ac:dyDescent="0.2">
      <c r="A20" s="4" t="s">
        <v>53</v>
      </c>
      <c r="B20" s="5">
        <f>(6.07+6.25+5.65+7.95+4.25+6.21)/6</f>
        <v>6.0633333333333326</v>
      </c>
      <c r="C20" s="25">
        <v>6</v>
      </c>
      <c r="E20" s="4" t="s">
        <v>54</v>
      </c>
      <c r="F20" s="5">
        <f>(9.57+5.77+6.69+5.6)/4</f>
        <v>6.9075000000000006</v>
      </c>
      <c r="G20" s="25">
        <v>4</v>
      </c>
      <c r="I20" s="6" t="s">
        <v>58</v>
      </c>
      <c r="J20" s="7">
        <v>5.15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(3.5+4.66+5.58+5.05+3.89+5.12+5.34)/7</f>
        <v>4.734285714285714</v>
      </c>
      <c r="G21" s="26">
        <v>7</v>
      </c>
      <c r="I21" s="6" t="s">
        <v>62</v>
      </c>
      <c r="J21" s="7">
        <v>6.51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65</v>
      </c>
      <c r="J22" s="7">
        <v>4.2</v>
      </c>
    </row>
    <row r="23" spans="1:10" ht="15.75" customHeight="1" x14ac:dyDescent="0.2">
      <c r="A23" s="4" t="s">
        <v>63</v>
      </c>
      <c r="B23" s="24">
        <v>5.49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5.8</v>
      </c>
    </row>
    <row r="24" spans="1:10" ht="15.75" customHeight="1" x14ac:dyDescent="0.2">
      <c r="A24" s="4" t="s">
        <v>66</v>
      </c>
      <c r="B24" s="24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5.79</v>
      </c>
    </row>
    <row r="25" spans="1:10" ht="15.75" customHeight="1" x14ac:dyDescent="0.2">
      <c r="A25" s="4" t="s">
        <v>69</v>
      </c>
      <c r="B25" s="9">
        <f>(9.18+6.75+10.41)/3</f>
        <v>8.7799999999999994</v>
      </c>
      <c r="C25" s="26">
        <v>3</v>
      </c>
      <c r="E25" s="4" t="s">
        <v>70</v>
      </c>
      <c r="F25" s="9">
        <f>(4.15+4.44)/2</f>
        <v>4.2949999999999999</v>
      </c>
      <c r="G25" s="26">
        <v>2</v>
      </c>
      <c r="I25" s="6" t="s">
        <v>74</v>
      </c>
      <c r="J25" s="7">
        <v>5.08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v>2.2599999999999998</v>
      </c>
      <c r="G26" s="26">
        <v>1</v>
      </c>
      <c r="I26" s="6" t="s">
        <v>77</v>
      </c>
      <c r="J26" s="7">
        <v>4.75</v>
      </c>
    </row>
    <row r="27" spans="1:10" ht="15.75" customHeight="1" x14ac:dyDescent="0.2">
      <c r="A27" s="4" t="s">
        <v>75</v>
      </c>
      <c r="B27" s="24">
        <v>6.1</v>
      </c>
      <c r="C27" s="25">
        <v>1</v>
      </c>
      <c r="E27" s="4" t="s">
        <v>76</v>
      </c>
      <c r="F27" s="5">
        <f>(8.9+5.96+5.93+5.92+6.47+8.34)/6</f>
        <v>6.919999999999999</v>
      </c>
      <c r="G27" s="25">
        <v>6</v>
      </c>
      <c r="I27" s="6" t="s">
        <v>80</v>
      </c>
      <c r="J27" s="7">
        <v>5.5</v>
      </c>
    </row>
    <row r="28" spans="1:10" ht="15.75" customHeight="1" x14ac:dyDescent="0.2">
      <c r="A28" s="4" t="s">
        <v>78</v>
      </c>
      <c r="B28" s="24">
        <f>(3.37+3.87+6.1+6.35+2.88+4.91+4.53)/7</f>
        <v>4.572857142857143</v>
      </c>
      <c r="C28" s="25">
        <v>7</v>
      </c>
      <c r="E28" s="4" t="s">
        <v>79</v>
      </c>
      <c r="F28" s="5">
        <f>(3.52+4.32+5.08+8.59+6.51+6.96+2.92+5.96+5.49+6.51+5.23+6.47+6.72+5.32+2.76+3.94)/16</f>
        <v>5.3937499999999998</v>
      </c>
      <c r="G28" s="25">
        <v>16</v>
      </c>
      <c r="I28" s="6" t="s">
        <v>83</v>
      </c>
      <c r="J28" s="7">
        <v>5.47</v>
      </c>
    </row>
    <row r="29" spans="1:10" ht="15.75" customHeight="1" x14ac:dyDescent="0.2">
      <c r="A29" s="4" t="s">
        <v>81</v>
      </c>
      <c r="B29" s="9">
        <f>(6.56+4.38+11.18+7.46)/4</f>
        <v>7.3949999999999996</v>
      </c>
      <c r="C29" s="26">
        <v>4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5.16</v>
      </c>
    </row>
    <row r="30" spans="1:10" ht="15.75" customHeight="1" x14ac:dyDescent="0.2">
      <c r="A30" s="4" t="s">
        <v>84</v>
      </c>
      <c r="B30" s="9">
        <f>(3.42+5.16)/2</f>
        <v>4.29</v>
      </c>
      <c r="C30" s="26">
        <v>2</v>
      </c>
      <c r="E30" s="4" t="s">
        <v>85</v>
      </c>
      <c r="F30" s="9">
        <f>(6.04+6.03)/2</f>
        <v>6.0350000000000001</v>
      </c>
      <c r="G30" s="26">
        <v>2</v>
      </c>
      <c r="I30" s="6" t="s">
        <v>89</v>
      </c>
      <c r="J30" s="7">
        <v>5.12</v>
      </c>
    </row>
    <row r="31" spans="1:10" ht="15.75" customHeight="1" x14ac:dyDescent="0.2">
      <c r="A31" s="4" t="s">
        <v>87</v>
      </c>
      <c r="B31" s="24">
        <f>(4.47+2.94+3.47)/3</f>
        <v>3.6266666666666669</v>
      </c>
      <c r="C31" s="25">
        <v>3</v>
      </c>
      <c r="E31" s="4" t="s">
        <v>88</v>
      </c>
      <c r="F31" s="5">
        <f>(4.45+5.56)/2</f>
        <v>5.0049999999999999</v>
      </c>
      <c r="G31" s="25">
        <v>2</v>
      </c>
      <c r="I31" s="6" t="s">
        <v>91</v>
      </c>
      <c r="J31" s="7">
        <v>5.43</v>
      </c>
    </row>
    <row r="32" spans="1:10" ht="15.75" customHeight="1" x14ac:dyDescent="0.2">
      <c r="A32" s="4" t="s">
        <v>65</v>
      </c>
      <c r="B32" s="24" t="s">
        <v>14</v>
      </c>
      <c r="C32" s="25">
        <v>0</v>
      </c>
      <c r="E32" s="4" t="s">
        <v>90</v>
      </c>
      <c r="F32" s="5">
        <f>(3.75+7.34+7.3+8.25+4.08+8.35+3.18)/7</f>
        <v>6.0357142857142856</v>
      </c>
      <c r="G32" s="25">
        <v>7</v>
      </c>
      <c r="I32" s="6" t="s">
        <v>94</v>
      </c>
      <c r="J32" s="7">
        <v>2.74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(5.08+5.09)/2</f>
        <v>5.085</v>
      </c>
      <c r="G33" s="26">
        <v>2</v>
      </c>
      <c r="I33" s="6" t="s">
        <v>97</v>
      </c>
      <c r="J33" s="7">
        <v>4.9400000000000004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6.53</v>
      </c>
      <c r="G34" s="26">
        <v>1</v>
      </c>
      <c r="I34" s="6" t="s">
        <v>100</v>
      </c>
      <c r="J34" s="7">
        <v>4.34</v>
      </c>
    </row>
    <row r="35" spans="1:10" ht="15.75" customHeight="1" x14ac:dyDescent="0.2">
      <c r="A35" s="4" t="s">
        <v>98</v>
      </c>
      <c r="B35" s="24" t="s">
        <v>14</v>
      </c>
      <c r="C35" s="25">
        <v>0</v>
      </c>
      <c r="E35" s="4" t="s">
        <v>99</v>
      </c>
      <c r="F35" s="5">
        <f>(10.38+9.11)/2</f>
        <v>9.745000000000001</v>
      </c>
      <c r="G35" s="25">
        <v>2</v>
      </c>
      <c r="I35" s="6" t="s">
        <v>103</v>
      </c>
      <c r="J35" s="7">
        <v>5.47</v>
      </c>
    </row>
    <row r="36" spans="1:10" ht="15.75" customHeight="1" x14ac:dyDescent="0.2">
      <c r="A36" s="4" t="s">
        <v>101</v>
      </c>
      <c r="B36" s="24" t="s">
        <v>14</v>
      </c>
      <c r="C36" s="25">
        <v>0</v>
      </c>
      <c r="E36" s="4" t="s">
        <v>102</v>
      </c>
      <c r="F36" s="5">
        <f>(4.51+8.82+7.82)/3</f>
        <v>7.05</v>
      </c>
      <c r="G36" s="25">
        <v>3</v>
      </c>
      <c r="I36" s="6" t="s">
        <v>105</v>
      </c>
      <c r="J36" s="7">
        <v>4.4400000000000004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4.8099999999999996</v>
      </c>
    </row>
    <row r="38" spans="1:10" ht="15.75" customHeight="1" x14ac:dyDescent="0.2">
      <c r="B38" s="14"/>
      <c r="C38" s="14"/>
      <c r="I38" s="6" t="s">
        <v>107</v>
      </c>
      <c r="J38" s="7">
        <v>5.65</v>
      </c>
    </row>
    <row r="39" spans="1:10" ht="15.75" customHeight="1" x14ac:dyDescent="0.2">
      <c r="I39" s="6" t="s">
        <v>108</v>
      </c>
      <c r="J39" s="7">
        <v>5.4</v>
      </c>
    </row>
    <row r="40" spans="1:10" ht="15.75" customHeight="1" x14ac:dyDescent="0.2">
      <c r="I40" s="6" t="s">
        <v>109</v>
      </c>
      <c r="J40" s="7">
        <v>4.8499999999999996</v>
      </c>
    </row>
    <row r="41" spans="1:10" ht="15.75" customHeight="1" x14ac:dyDescent="0.2">
      <c r="I41" s="6" t="s">
        <v>110</v>
      </c>
      <c r="J41" s="7">
        <v>5.32</v>
      </c>
    </row>
    <row r="42" spans="1:10" ht="15.75" customHeight="1" x14ac:dyDescent="0.2">
      <c r="I42" s="6" t="s">
        <v>111</v>
      </c>
      <c r="J42" s="7">
        <v>5.08</v>
      </c>
    </row>
    <row r="43" spans="1:10" ht="15.75" customHeight="1" x14ac:dyDescent="0.2">
      <c r="I43" s="6" t="s">
        <v>112</v>
      </c>
      <c r="J43" s="7">
        <v>4.5599999999999996</v>
      </c>
    </row>
    <row r="44" spans="1:10" ht="15.75" customHeight="1" x14ac:dyDescent="0.2">
      <c r="I44" s="6" t="s">
        <v>113</v>
      </c>
      <c r="J44" s="7">
        <v>5.17</v>
      </c>
    </row>
    <row r="45" spans="1:10" ht="15.75" customHeight="1" x14ac:dyDescent="0.2">
      <c r="I45" s="6" t="s">
        <v>114</v>
      </c>
      <c r="J45" s="7">
        <v>4.93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126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127</v>
      </c>
    </row>
    <row r="4" spans="1:10" x14ac:dyDescent="0.2">
      <c r="A4" s="4" t="s">
        <v>4</v>
      </c>
      <c r="B4" s="24">
        <v>5.56</v>
      </c>
      <c r="C4" s="25">
        <v>1</v>
      </c>
      <c r="E4" s="4" t="s">
        <v>5</v>
      </c>
      <c r="F4" s="5">
        <f>(1.41+5.38)/2</f>
        <v>3.395</v>
      </c>
      <c r="G4" s="25">
        <v>2</v>
      </c>
      <c r="I4" s="6" t="s">
        <v>9</v>
      </c>
      <c r="J4" s="7">
        <v>4.63</v>
      </c>
    </row>
    <row r="5" spans="1:10" x14ac:dyDescent="0.2">
      <c r="A5" s="4" t="s">
        <v>7</v>
      </c>
      <c r="B5" s="9">
        <f>(2.46+0.82+2.97+0.48+1.17+3.1+2.05+2.55+1.49+2.62+0.22+1.51+3.24+0.77+1.87+2.3+8.29+0.62+0.95+0.59+0.29+0.2+1.42+0.13+2.65+0.1+2.81+0.88+1.76+1.19+1.1+3.37+2.89+1.55+3.15+0.92)/36</f>
        <v>1.7911111111111113</v>
      </c>
      <c r="C5" s="26">
        <v>36</v>
      </c>
      <c r="E5" s="4" t="s">
        <v>8</v>
      </c>
      <c r="F5" s="9">
        <f>(10.55+6.33+6.86+6.58+4.43+2.35)/6</f>
        <v>6.1833333333333336</v>
      </c>
      <c r="G5" s="26">
        <v>6</v>
      </c>
      <c r="I5" s="6" t="s">
        <v>12</v>
      </c>
      <c r="J5" s="7">
        <v>4.22</v>
      </c>
    </row>
    <row r="6" spans="1:10" x14ac:dyDescent="0.2">
      <c r="A6" s="4" t="s">
        <v>10</v>
      </c>
      <c r="B6" s="9">
        <f>(5.19+1.74)/2</f>
        <v>3.4650000000000003</v>
      </c>
      <c r="C6" s="26">
        <v>2</v>
      </c>
      <c r="E6" s="4" t="s">
        <v>11</v>
      </c>
      <c r="F6" s="9">
        <f>(7.39+6.09+5.03+8.07+4.62+4.84+4.65+4.49+4.64+6.33+1.21+0.56+6.69+7.68+7.42+8.11+5.01+3.35)/18</f>
        <v>5.3433333333333346</v>
      </c>
      <c r="G6" s="26">
        <v>18</v>
      </c>
      <c r="I6" s="6" t="s">
        <v>16</v>
      </c>
      <c r="J6" s="7">
        <v>4.5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2.87</v>
      </c>
      <c r="G7" s="25">
        <v>1</v>
      </c>
      <c r="I7" s="6" t="s">
        <v>19</v>
      </c>
      <c r="J7" s="7">
        <v>3.57</v>
      </c>
    </row>
    <row r="8" spans="1:10" x14ac:dyDescent="0.2">
      <c r="A8" s="4" t="s">
        <v>17</v>
      </c>
      <c r="B8" s="24">
        <f>(9.75+13.71+5.68+2.5+9.54+0.99)/6</f>
        <v>7.0283333333333333</v>
      </c>
      <c r="C8" s="25">
        <v>6</v>
      </c>
      <c r="E8" s="4" t="s">
        <v>18</v>
      </c>
      <c r="F8" s="5">
        <f>(9.77+6.13+5.49+7.09+1.1+5.72+6+6.33+4.79)/9</f>
        <v>5.8244444444444445</v>
      </c>
      <c r="G8" s="25">
        <v>9</v>
      </c>
      <c r="I8" s="6" t="s">
        <v>22</v>
      </c>
      <c r="J8" s="7">
        <v>5.65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(8.95+4.18+5.03)/3</f>
        <v>6.0533333333333337</v>
      </c>
      <c r="G9" s="26">
        <v>3</v>
      </c>
      <c r="I9" s="6" t="s">
        <v>25</v>
      </c>
      <c r="J9" s="7">
        <v>4.47</v>
      </c>
    </row>
    <row r="10" spans="1:10" x14ac:dyDescent="0.2">
      <c r="A10" s="4" t="s">
        <v>23</v>
      </c>
      <c r="B10" s="9">
        <v>1.6</v>
      </c>
      <c r="C10" s="26">
        <v>1</v>
      </c>
      <c r="E10" s="4" t="s">
        <v>24</v>
      </c>
      <c r="F10" s="9">
        <f>(4.92+4.54+4.46+1.97+3.43)/5</f>
        <v>3.8640000000000008</v>
      </c>
      <c r="G10" s="26">
        <v>5</v>
      </c>
      <c r="I10" s="6" t="s">
        <v>28</v>
      </c>
      <c r="J10" s="7">
        <v>3.39</v>
      </c>
    </row>
    <row r="11" spans="1:10" x14ac:dyDescent="0.2">
      <c r="A11" s="4" t="s">
        <v>26</v>
      </c>
      <c r="B11" s="24">
        <f>(8.67+6.35)/2</f>
        <v>7.51</v>
      </c>
      <c r="C11" s="25">
        <v>2</v>
      </c>
      <c r="E11" s="4" t="s">
        <v>27</v>
      </c>
      <c r="F11" s="5">
        <f>(6.48+8.39+8.57+6.47+5.62+6.49+8.41+6.43)/8</f>
        <v>7.1075000000000008</v>
      </c>
      <c r="G11" s="25">
        <v>8</v>
      </c>
      <c r="I11" s="6" t="s">
        <v>31</v>
      </c>
      <c r="J11" s="7">
        <v>6.44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3.72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4.16</v>
      </c>
    </row>
    <row r="14" spans="1:10" x14ac:dyDescent="0.2">
      <c r="A14" s="4" t="s">
        <v>35</v>
      </c>
      <c r="B14" s="9">
        <v>2.0499999999999998</v>
      </c>
      <c r="C14" s="26">
        <v>1</v>
      </c>
      <c r="E14" s="4" t="s">
        <v>36</v>
      </c>
      <c r="F14" s="9">
        <f>(6.33+6.6+7.36+4.6+6.64+8.18+5.07+8.96+14.67+9.45+8.89+8.17+6.92+7.74+5.56+6.83+11.79+6.55+4.27+8+7.26+4.43+7.56+7.54)/24</f>
        <v>7.4737499999999999</v>
      </c>
      <c r="G14" s="26">
        <v>24</v>
      </c>
      <c r="I14" s="6" t="s">
        <v>40</v>
      </c>
      <c r="J14" s="7">
        <v>5.0199999999999996</v>
      </c>
    </row>
    <row r="15" spans="1:10" x14ac:dyDescent="0.2">
      <c r="A15" s="4" t="s">
        <v>38</v>
      </c>
      <c r="B15" s="24">
        <v>1.46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4.6900000000000004</v>
      </c>
    </row>
    <row r="16" spans="1:10" x14ac:dyDescent="0.2">
      <c r="A16" s="4" t="s">
        <v>41</v>
      </c>
      <c r="B16" s="24">
        <f>(1.57+2.88+0.4)/3</f>
        <v>1.6166666666666669</v>
      </c>
      <c r="C16" s="25">
        <v>3</v>
      </c>
      <c r="E16" s="4" t="s">
        <v>42</v>
      </c>
      <c r="F16" s="5">
        <v>6.28</v>
      </c>
      <c r="G16" s="25">
        <v>1</v>
      </c>
      <c r="I16" s="6" t="s">
        <v>46</v>
      </c>
      <c r="J16" s="7">
        <v>4.09</v>
      </c>
    </row>
    <row r="17" spans="1:10" x14ac:dyDescent="0.2">
      <c r="A17" s="4" t="s">
        <v>44</v>
      </c>
      <c r="B17" s="9">
        <v>6.16</v>
      </c>
      <c r="C17" s="26">
        <v>1</v>
      </c>
      <c r="E17" s="4" t="s">
        <v>45</v>
      </c>
      <c r="F17" s="9">
        <f>(6.21+4.48+7.64+4.62+5.23+2.9+5.88+4.94+7.7+5.84+4.37)/11</f>
        <v>5.4372727272727266</v>
      </c>
      <c r="G17" s="26">
        <v>11</v>
      </c>
      <c r="I17" s="6" t="s">
        <v>49</v>
      </c>
      <c r="J17" s="7">
        <v>4.0999999999999996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(0.36+1.33+2.3+1.12+1.9+0.57+1.97+3.33+1.02+1.13+1.01+2.31+2.86+1.82+1.66+0.78+1.84+0.65+0.91+1.28+1.65+1.45+2.61)/23</f>
        <v>1.5591304347826087</v>
      </c>
      <c r="G18" s="26">
        <v>23</v>
      </c>
      <c r="I18" s="6" t="s">
        <v>52</v>
      </c>
      <c r="J18" s="7">
        <v>7.19</v>
      </c>
    </row>
    <row r="19" spans="1:10" x14ac:dyDescent="0.2">
      <c r="A19" s="4" t="s">
        <v>50</v>
      </c>
      <c r="B19" s="24" t="s">
        <v>14</v>
      </c>
      <c r="C19" s="25">
        <v>0</v>
      </c>
      <c r="E19" s="4" t="s">
        <v>51</v>
      </c>
      <c r="F19" s="5">
        <f>(1.04+1.6+1.45+0.73)/4</f>
        <v>1.2050000000000001</v>
      </c>
      <c r="G19" s="25">
        <v>4</v>
      </c>
      <c r="I19" s="6" t="s">
        <v>55</v>
      </c>
      <c r="J19" s="7">
        <v>4.49</v>
      </c>
    </row>
    <row r="20" spans="1:10" x14ac:dyDescent="0.2">
      <c r="A20" s="4" t="s">
        <v>53</v>
      </c>
      <c r="B20" s="24">
        <f>(6.41+8.43+6.41+7.54+5.91+6.81)/6</f>
        <v>6.9183333333333339</v>
      </c>
      <c r="C20" s="25">
        <v>6</v>
      </c>
      <c r="E20" s="4" t="s">
        <v>54</v>
      </c>
      <c r="F20" s="5">
        <f>(4.37+4.57+5.63+5.33)/4</f>
        <v>4.9749999999999996</v>
      </c>
      <c r="G20" s="25">
        <v>4</v>
      </c>
      <c r="I20" s="6" t="s">
        <v>58</v>
      </c>
      <c r="J20" s="7">
        <v>3.57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(5.01+4.5+4.23+7.34+4.22+7.63+5.64)/7</f>
        <v>5.51</v>
      </c>
      <c r="G21" s="26">
        <v>7</v>
      </c>
      <c r="I21" s="6" t="s">
        <v>62</v>
      </c>
      <c r="J21" s="7">
        <v>5.07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65</v>
      </c>
      <c r="J22" s="7">
        <v>3.84</v>
      </c>
    </row>
    <row r="23" spans="1:10" ht="15.75" customHeight="1" x14ac:dyDescent="0.2">
      <c r="A23" s="4" t="s">
        <v>63</v>
      </c>
      <c r="B23" s="24">
        <v>3.76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5.03</v>
      </c>
    </row>
    <row r="24" spans="1:10" ht="15.75" customHeight="1" x14ac:dyDescent="0.2">
      <c r="A24" s="4" t="s">
        <v>66</v>
      </c>
      <c r="B24" s="24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4.76</v>
      </c>
    </row>
    <row r="25" spans="1:10" ht="15.75" customHeight="1" x14ac:dyDescent="0.2">
      <c r="A25" s="4" t="s">
        <v>69</v>
      </c>
      <c r="B25" s="9">
        <f>(9.14+6.38+6.45)/3</f>
        <v>7.3233333333333333</v>
      </c>
      <c r="C25" s="26">
        <v>3</v>
      </c>
      <c r="E25" s="4" t="s">
        <v>70</v>
      </c>
      <c r="F25" s="9">
        <f>(6.03+6.62)/2</f>
        <v>6.3250000000000002</v>
      </c>
      <c r="G25" s="26">
        <v>2</v>
      </c>
      <c r="I25" s="6" t="s">
        <v>74</v>
      </c>
      <c r="J25" s="7">
        <v>4.3499999999999996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v>3.01</v>
      </c>
      <c r="G26" s="26">
        <v>1</v>
      </c>
      <c r="I26" s="6" t="s">
        <v>77</v>
      </c>
      <c r="J26" s="7">
        <v>4.01</v>
      </c>
    </row>
    <row r="27" spans="1:10" ht="15.75" customHeight="1" x14ac:dyDescent="0.2">
      <c r="A27" s="4" t="s">
        <v>75</v>
      </c>
      <c r="B27" s="24">
        <v>1.51</v>
      </c>
      <c r="C27" s="25">
        <v>1</v>
      </c>
      <c r="E27" s="4" t="s">
        <v>76</v>
      </c>
      <c r="F27" s="5">
        <f>(10.54+7.81+6.03+8.1+12.96+7.87+0.04)/7</f>
        <v>7.621428571428571</v>
      </c>
      <c r="G27" s="25">
        <v>7</v>
      </c>
      <c r="I27" s="6" t="s">
        <v>80</v>
      </c>
      <c r="J27" s="7">
        <v>3.55</v>
      </c>
    </row>
    <row r="28" spans="1:10" ht="15.75" customHeight="1" x14ac:dyDescent="0.2">
      <c r="A28" s="4" t="s">
        <v>78</v>
      </c>
      <c r="B28" s="24">
        <f>(2.93+4.76+5.32+6.15+6.52+3.49+3.92)/7</f>
        <v>4.7271428571428578</v>
      </c>
      <c r="C28" s="25">
        <v>7</v>
      </c>
      <c r="E28" s="4" t="s">
        <v>79</v>
      </c>
      <c r="F28" s="5">
        <f>(3.79+4.69+2.9+4.13+6.16+5.81+4.33+4.64+5.07+4.46+5.34+7.21+4.99+3.04+2.25)/15</f>
        <v>4.5873333333333344</v>
      </c>
      <c r="G28" s="25">
        <v>15</v>
      </c>
      <c r="I28" s="6" t="s">
        <v>83</v>
      </c>
      <c r="J28" s="7">
        <v>3.37</v>
      </c>
    </row>
    <row r="29" spans="1:10" ht="15.75" customHeight="1" x14ac:dyDescent="0.2">
      <c r="A29" s="4" t="s">
        <v>81</v>
      </c>
      <c r="B29" s="9">
        <f>(4.68+3.85+3.59+3.32)/4</f>
        <v>3.86</v>
      </c>
      <c r="C29" s="26">
        <v>4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3.33</v>
      </c>
    </row>
    <row r="30" spans="1:10" ht="15.75" customHeight="1" x14ac:dyDescent="0.2">
      <c r="A30" s="4" t="s">
        <v>84</v>
      </c>
      <c r="B30" s="9">
        <f>(5.45+1.02)/2</f>
        <v>3.2350000000000003</v>
      </c>
      <c r="C30" s="26">
        <v>2</v>
      </c>
      <c r="E30" s="4" t="s">
        <v>85</v>
      </c>
      <c r="F30" s="9">
        <f>(5.06+10.36)/2</f>
        <v>7.7099999999999991</v>
      </c>
      <c r="G30" s="26">
        <v>2</v>
      </c>
      <c r="I30" s="6" t="s">
        <v>89</v>
      </c>
      <c r="J30" s="7">
        <v>4.2</v>
      </c>
    </row>
    <row r="31" spans="1:10" ht="15.75" customHeight="1" x14ac:dyDescent="0.2">
      <c r="A31" s="4" t="s">
        <v>87</v>
      </c>
      <c r="B31" s="24">
        <f>(4.83+6.03+4.78)/3</f>
        <v>5.2133333333333338</v>
      </c>
      <c r="C31" s="25">
        <v>3</v>
      </c>
      <c r="E31" s="4" t="s">
        <v>88</v>
      </c>
      <c r="F31" s="5">
        <f>(7.49+0.73)/2</f>
        <v>4.1100000000000003</v>
      </c>
      <c r="G31" s="25">
        <v>2</v>
      </c>
      <c r="I31" s="6" t="s">
        <v>91</v>
      </c>
      <c r="J31" s="7">
        <v>4.51</v>
      </c>
    </row>
    <row r="32" spans="1:10" ht="15.75" customHeight="1" x14ac:dyDescent="0.2">
      <c r="A32" s="4" t="s">
        <v>65</v>
      </c>
      <c r="B32" s="24" t="s">
        <v>14</v>
      </c>
      <c r="C32" s="25">
        <v>0</v>
      </c>
      <c r="E32" s="4" t="s">
        <v>90</v>
      </c>
      <c r="F32" s="5">
        <f>(2.22+3.82+2.89+2.57+3.8+2.86+0.81)/7</f>
        <v>2.71</v>
      </c>
      <c r="G32" s="25">
        <v>7</v>
      </c>
      <c r="I32" s="6" t="s">
        <v>94</v>
      </c>
      <c r="J32" s="7">
        <v>6.86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(4.68+5.44)/2</f>
        <v>5.0600000000000005</v>
      </c>
      <c r="G33" s="26">
        <v>2</v>
      </c>
      <c r="I33" s="6" t="s">
        <v>97</v>
      </c>
      <c r="J33" s="7">
        <v>4.12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3.06</v>
      </c>
      <c r="G34" s="26">
        <v>1</v>
      </c>
      <c r="I34" s="6" t="s">
        <v>100</v>
      </c>
      <c r="J34" s="7">
        <v>3.66</v>
      </c>
    </row>
    <row r="35" spans="1:10" ht="15.75" customHeight="1" x14ac:dyDescent="0.2">
      <c r="A35" s="4" t="s">
        <v>98</v>
      </c>
      <c r="B35" s="24" t="s">
        <v>14</v>
      </c>
      <c r="C35" s="25">
        <v>0</v>
      </c>
      <c r="E35" s="4" t="s">
        <v>99</v>
      </c>
      <c r="F35" s="5">
        <f>(0.76+1.2)/2</f>
        <v>0.98</v>
      </c>
      <c r="G35" s="25">
        <v>2</v>
      </c>
      <c r="I35" s="6" t="s">
        <v>103</v>
      </c>
      <c r="J35" s="7">
        <v>3.31</v>
      </c>
    </row>
    <row r="36" spans="1:10" ht="15.75" customHeight="1" x14ac:dyDescent="0.2">
      <c r="A36" s="4" t="s">
        <v>101</v>
      </c>
      <c r="B36" s="24" t="s">
        <v>14</v>
      </c>
      <c r="C36" s="25">
        <v>0</v>
      </c>
      <c r="E36" s="4" t="s">
        <v>102</v>
      </c>
      <c r="F36" s="5">
        <f>(3.83+8.58+9.51)/3</f>
        <v>7.3066666666666675</v>
      </c>
      <c r="G36" s="25">
        <v>3</v>
      </c>
      <c r="I36" s="6" t="s">
        <v>105</v>
      </c>
      <c r="J36" s="7">
        <v>3.56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4.45</v>
      </c>
    </row>
    <row r="38" spans="1:10" ht="15.75" customHeight="1" x14ac:dyDescent="0.2">
      <c r="I38" s="6" t="s">
        <v>107</v>
      </c>
      <c r="J38" s="7">
        <v>3.85</v>
      </c>
    </row>
    <row r="39" spans="1:10" ht="15.75" customHeight="1" x14ac:dyDescent="0.2">
      <c r="I39" s="6" t="s">
        <v>108</v>
      </c>
      <c r="J39" s="7">
        <v>4.9000000000000004</v>
      </c>
    </row>
    <row r="40" spans="1:10" ht="15.75" customHeight="1" x14ac:dyDescent="0.2">
      <c r="I40" s="6" t="s">
        <v>109</v>
      </c>
      <c r="J40" s="7">
        <v>3.79</v>
      </c>
    </row>
    <row r="41" spans="1:10" ht="15.75" customHeight="1" x14ac:dyDescent="0.2">
      <c r="I41" s="6" t="s">
        <v>110</v>
      </c>
      <c r="J41" s="7">
        <v>4.4800000000000004</v>
      </c>
    </row>
    <row r="42" spans="1:10" ht="15.75" customHeight="1" x14ac:dyDescent="0.2">
      <c r="I42" s="6" t="s">
        <v>111</v>
      </c>
      <c r="J42" s="7">
        <v>4.59</v>
      </c>
    </row>
    <row r="43" spans="1:10" ht="15.75" customHeight="1" x14ac:dyDescent="0.2">
      <c r="I43" s="6" t="s">
        <v>112</v>
      </c>
      <c r="J43" s="7">
        <v>2.78</v>
      </c>
    </row>
    <row r="44" spans="1:10" ht="15.75" customHeight="1" x14ac:dyDescent="0.2">
      <c r="I44" s="6" t="s">
        <v>113</v>
      </c>
      <c r="J44" s="7">
        <v>4.0199999999999996</v>
      </c>
    </row>
    <row r="45" spans="1:10" ht="15.75" customHeight="1" x14ac:dyDescent="0.2">
      <c r="I45" s="6" t="s">
        <v>114</v>
      </c>
      <c r="J45" s="7">
        <v>4.3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128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129</v>
      </c>
    </row>
    <row r="4" spans="1:10" x14ac:dyDescent="0.2">
      <c r="A4" s="4" t="s">
        <v>4</v>
      </c>
      <c r="B4" s="24">
        <v>0.99</v>
      </c>
      <c r="C4" s="6">
        <v>1</v>
      </c>
      <c r="E4" s="4" t="s">
        <v>5</v>
      </c>
      <c r="F4" s="5">
        <f>(0.9+2.23)/2</f>
        <v>1.5649999999999999</v>
      </c>
      <c r="G4" s="6">
        <v>2</v>
      </c>
      <c r="I4" s="6" t="s">
        <v>9</v>
      </c>
      <c r="J4" s="7">
        <v>3.53</v>
      </c>
    </row>
    <row r="5" spans="1:10" x14ac:dyDescent="0.2">
      <c r="A5" s="4" t="s">
        <v>7</v>
      </c>
      <c r="B5" s="27">
        <f>(3.6+7.04+1.55+2.73+7.15+1.21+2.73+1.69+2.68+2.15+4.22+1.46+1.49+3.25+1.94+1.36+2.26+2.32+5.38+3.77+2.88+2.19+2.19+1.56+3+1.61+7.38+6.08+4.16+3.1+1.65+2.65+2.57+1.62+6.06)/35</f>
        <v>3.1051428571428574</v>
      </c>
      <c r="C5" s="28">
        <v>35</v>
      </c>
      <c r="E5" s="4" t="s">
        <v>8</v>
      </c>
      <c r="F5" s="27">
        <f>(0.2+0.73+0.45+0.69+0.82+1.43)/6</f>
        <v>0.71999999999999986</v>
      </c>
      <c r="G5" s="28">
        <v>6</v>
      </c>
      <c r="I5" s="6" t="s">
        <v>12</v>
      </c>
      <c r="J5" s="7">
        <v>3.47</v>
      </c>
    </row>
    <row r="6" spans="1:10" x14ac:dyDescent="0.2">
      <c r="A6" s="4" t="s">
        <v>10</v>
      </c>
      <c r="B6" s="29">
        <f>(2.45+4.08)/2</f>
        <v>3.2650000000000001</v>
      </c>
      <c r="C6" s="28">
        <v>2</v>
      </c>
      <c r="E6" s="4" t="s">
        <v>11</v>
      </c>
      <c r="F6" s="27">
        <f>(1.38+1.44+1.76+0.9+2.03+1.62+1.73+2.08+1.02+0.9+4+1.42+2.32+1.24+1.47+2.29+1.04)/16</f>
        <v>1.7899999999999998</v>
      </c>
      <c r="G6" s="28">
        <v>16</v>
      </c>
      <c r="I6" s="6" t="s">
        <v>16</v>
      </c>
      <c r="J6" s="7">
        <v>4.0999999999999996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1.17</v>
      </c>
      <c r="G7" s="6">
        <v>1</v>
      </c>
      <c r="I7" s="6" t="s">
        <v>19</v>
      </c>
      <c r="J7" s="7">
        <v>3.76</v>
      </c>
    </row>
    <row r="8" spans="1:10" x14ac:dyDescent="0.2">
      <c r="A8" s="4" t="s">
        <v>17</v>
      </c>
      <c r="B8" s="24">
        <f>(1.75+2.87+1.04+2.09+2.27)/5</f>
        <v>2.004</v>
      </c>
      <c r="C8" s="6">
        <v>5</v>
      </c>
      <c r="E8" s="4" t="s">
        <v>18</v>
      </c>
      <c r="F8" s="5">
        <f>(1.59+0.19+0.98+2.21+1.1+1.06+0.52+0.37+0.68)/9</f>
        <v>0.96666666666666656</v>
      </c>
      <c r="G8" s="6">
        <v>9</v>
      </c>
      <c r="I8" s="6" t="s">
        <v>22</v>
      </c>
      <c r="J8" s="7">
        <v>4.62</v>
      </c>
    </row>
    <row r="9" spans="1:10" x14ac:dyDescent="0.2">
      <c r="A9" s="4" t="s">
        <v>20</v>
      </c>
      <c r="B9" s="27" t="s">
        <v>14</v>
      </c>
      <c r="C9" s="28">
        <v>0</v>
      </c>
      <c r="E9" s="4" t="s">
        <v>21</v>
      </c>
      <c r="F9" s="27">
        <f>(1.67+1.04+1.57)/3</f>
        <v>1.4266666666666667</v>
      </c>
      <c r="G9" s="28">
        <v>3</v>
      </c>
      <c r="I9" s="6" t="s">
        <v>25</v>
      </c>
      <c r="J9" s="7">
        <v>3.73</v>
      </c>
    </row>
    <row r="10" spans="1:10" x14ac:dyDescent="0.2">
      <c r="A10" s="4" t="s">
        <v>23</v>
      </c>
      <c r="B10" s="27">
        <f t="shared" ref="B10:B11" si="0">(1.76+0.77)/2</f>
        <v>1.2650000000000001</v>
      </c>
      <c r="C10" s="28">
        <v>2</v>
      </c>
      <c r="E10" s="4" t="s">
        <v>24</v>
      </c>
      <c r="F10" s="27">
        <f>(0.82+2.11+2.27+1.55+3.23)/5</f>
        <v>1.9959999999999998</v>
      </c>
      <c r="G10" s="28">
        <v>5</v>
      </c>
      <c r="I10" s="6" t="s">
        <v>28</v>
      </c>
      <c r="J10" s="7">
        <v>4.09</v>
      </c>
    </row>
    <row r="11" spans="1:10" x14ac:dyDescent="0.2">
      <c r="A11" s="4" t="s">
        <v>26</v>
      </c>
      <c r="B11" s="24">
        <f t="shared" si="0"/>
        <v>1.2650000000000001</v>
      </c>
      <c r="C11" s="6">
        <v>2</v>
      </c>
      <c r="E11" s="4" t="s">
        <v>27</v>
      </c>
      <c r="F11" s="5">
        <f>(0.85+0.11+0.34+0.83+0.93+3.18+0.54+0.42)/8</f>
        <v>0.9</v>
      </c>
      <c r="G11" s="6">
        <v>8</v>
      </c>
      <c r="I11" s="6" t="s">
        <v>31</v>
      </c>
      <c r="J11" s="7">
        <v>5.82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3.85</v>
      </c>
    </row>
    <row r="13" spans="1:10" x14ac:dyDescent="0.2">
      <c r="A13" s="4" t="s">
        <v>32</v>
      </c>
      <c r="B13" s="27" t="s">
        <v>14</v>
      </c>
      <c r="C13" s="28">
        <v>0</v>
      </c>
      <c r="E13" s="4" t="s">
        <v>33</v>
      </c>
      <c r="F13" s="27" t="s">
        <v>14</v>
      </c>
      <c r="G13" s="28">
        <v>0</v>
      </c>
      <c r="I13" s="6" t="s">
        <v>37</v>
      </c>
      <c r="J13" s="7">
        <v>2.2200000000000002</v>
      </c>
    </row>
    <row r="14" spans="1:10" x14ac:dyDescent="0.2">
      <c r="A14" s="4" t="s">
        <v>35</v>
      </c>
      <c r="B14" s="27">
        <v>0.9</v>
      </c>
      <c r="C14" s="28">
        <v>1</v>
      </c>
      <c r="E14" s="4" t="s">
        <v>36</v>
      </c>
      <c r="F14" s="29">
        <f>(1.11+1.16+0.63+0.61+1.18+0.23+1.48+0.46+1.47+1.01+0.58+1.11+1.12+1.87+1.27+0.86+0.6+1.2+0.79+0.66+0.83+0.56+1.01+1.21+0.79)/25</f>
        <v>0.95199999999999985</v>
      </c>
      <c r="G14" s="28">
        <v>25</v>
      </c>
      <c r="I14" s="6" t="s">
        <v>40</v>
      </c>
      <c r="J14" s="7">
        <v>4.38</v>
      </c>
    </row>
    <row r="15" spans="1:10" x14ac:dyDescent="0.2">
      <c r="A15" s="4" t="s">
        <v>38</v>
      </c>
      <c r="B15" s="24">
        <v>2.76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3.96</v>
      </c>
    </row>
    <row r="16" spans="1:10" x14ac:dyDescent="0.2">
      <c r="A16" s="4" t="s">
        <v>41</v>
      </c>
      <c r="B16" s="24">
        <f>(0.85+3.47+1.25)/3</f>
        <v>1.8566666666666667</v>
      </c>
      <c r="C16" s="6">
        <v>3</v>
      </c>
      <c r="E16" s="4" t="s">
        <v>42</v>
      </c>
      <c r="F16" s="5">
        <v>0.86</v>
      </c>
      <c r="G16" s="6">
        <v>1</v>
      </c>
      <c r="I16" s="6" t="s">
        <v>46</v>
      </c>
      <c r="J16" s="7">
        <v>3.57</v>
      </c>
    </row>
    <row r="17" spans="1:10" x14ac:dyDescent="0.2">
      <c r="A17" s="4" t="s">
        <v>44</v>
      </c>
      <c r="B17" s="27">
        <v>3.39</v>
      </c>
      <c r="C17" s="28">
        <v>1</v>
      </c>
      <c r="E17" s="4" t="s">
        <v>45</v>
      </c>
      <c r="F17" s="27">
        <f>(0.74+0.74+0.83+1.85+0.74+0.78+1.73+1.2+1.2+0.9)/10</f>
        <v>1.071</v>
      </c>
      <c r="G17" s="28">
        <v>10</v>
      </c>
      <c r="I17" s="6" t="s">
        <v>49</v>
      </c>
      <c r="J17" s="7">
        <v>3.5</v>
      </c>
    </row>
    <row r="18" spans="1:10" x14ac:dyDescent="0.2">
      <c r="A18" s="4" t="s">
        <v>47</v>
      </c>
      <c r="B18" s="27" t="s">
        <v>14</v>
      </c>
      <c r="C18" s="28">
        <v>0</v>
      </c>
      <c r="E18" s="4" t="s">
        <v>48</v>
      </c>
      <c r="F18" s="27">
        <f>(3.87+5.16+2.5+4.56+1.66+2.95+1.58+3.45+4.29+4.12+2.13+4.4+4.84+4.3+2.71+4.01+3.28+3.67+5.81+2.08+3.4+3.77+2.7+3.17+0)/25</f>
        <v>3.3764000000000003</v>
      </c>
      <c r="G18" s="28">
        <v>25</v>
      </c>
      <c r="I18" s="6" t="s">
        <v>52</v>
      </c>
      <c r="J18" s="7">
        <v>5.38</v>
      </c>
    </row>
    <row r="19" spans="1:10" x14ac:dyDescent="0.2">
      <c r="A19" s="4" t="s">
        <v>50</v>
      </c>
      <c r="B19" s="24" t="s">
        <v>14</v>
      </c>
      <c r="C19" s="6">
        <v>0</v>
      </c>
      <c r="E19" s="4" t="s">
        <v>51</v>
      </c>
      <c r="F19" s="5">
        <f>(1.55+2.8+0.97+2.52)/4</f>
        <v>1.96</v>
      </c>
      <c r="G19" s="6">
        <v>4</v>
      </c>
      <c r="I19" s="6" t="s">
        <v>55</v>
      </c>
      <c r="J19" s="7">
        <v>4.12</v>
      </c>
    </row>
    <row r="20" spans="1:10" x14ac:dyDescent="0.2">
      <c r="A20" s="4" t="s">
        <v>53</v>
      </c>
      <c r="B20" s="24">
        <f>(0.28+0.1+0.1+0.07+1.07+0.11)/6</f>
        <v>0.28833333333333339</v>
      </c>
      <c r="C20" s="6">
        <v>6</v>
      </c>
      <c r="E20" s="4" t="s">
        <v>54</v>
      </c>
      <c r="F20" s="5">
        <f>(1.08+3.97+1.88+3.89)/4</f>
        <v>2.7050000000000001</v>
      </c>
      <c r="G20" s="6">
        <v>4</v>
      </c>
      <c r="I20" s="6" t="s">
        <v>58</v>
      </c>
      <c r="J20" s="7">
        <v>3.62</v>
      </c>
    </row>
    <row r="21" spans="1:10" ht="15.75" customHeight="1" x14ac:dyDescent="0.2">
      <c r="A21" s="4" t="s">
        <v>56</v>
      </c>
      <c r="B21" s="27" t="s">
        <v>14</v>
      </c>
      <c r="C21" s="28">
        <v>0</v>
      </c>
      <c r="E21" s="4" t="s">
        <v>57</v>
      </c>
      <c r="F21" s="27">
        <f>(0.85+0.52+3.3+1.42+1.21+1.35+1.28)/7</f>
        <v>1.4185714285714286</v>
      </c>
      <c r="G21" s="28">
        <v>7</v>
      </c>
      <c r="I21" s="6" t="s">
        <v>62</v>
      </c>
      <c r="J21" s="7">
        <v>4.3099999999999996</v>
      </c>
    </row>
    <row r="22" spans="1:10" ht="15.75" customHeight="1" x14ac:dyDescent="0.2">
      <c r="A22" s="4" t="s">
        <v>59</v>
      </c>
      <c r="B22" s="27" t="s">
        <v>14</v>
      </c>
      <c r="C22" s="28">
        <v>0</v>
      </c>
      <c r="E22" s="4" t="s">
        <v>60</v>
      </c>
      <c r="F22" s="27" t="s">
        <v>14</v>
      </c>
      <c r="G22" s="28">
        <v>0</v>
      </c>
      <c r="I22" s="6" t="s">
        <v>65</v>
      </c>
      <c r="J22" s="7">
        <v>3.36</v>
      </c>
    </row>
    <row r="23" spans="1:10" ht="15.75" customHeight="1" x14ac:dyDescent="0.2">
      <c r="A23" s="4" t="s">
        <v>63</v>
      </c>
      <c r="B23" s="24">
        <v>1.22</v>
      </c>
      <c r="C23" s="6">
        <v>1</v>
      </c>
      <c r="E23" s="4" t="s">
        <v>64</v>
      </c>
      <c r="F23" s="5" t="s">
        <v>14</v>
      </c>
      <c r="G23" s="6">
        <v>0</v>
      </c>
      <c r="I23" s="6" t="s">
        <v>68</v>
      </c>
      <c r="J23" s="7">
        <v>4.25</v>
      </c>
    </row>
    <row r="24" spans="1:10" ht="15.75" customHeight="1" x14ac:dyDescent="0.2">
      <c r="A24" s="4" t="s">
        <v>66</v>
      </c>
      <c r="B24" s="24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4.17</v>
      </c>
    </row>
    <row r="25" spans="1:10" ht="15.75" customHeight="1" x14ac:dyDescent="0.2">
      <c r="A25" s="4" t="s">
        <v>69</v>
      </c>
      <c r="B25" s="27">
        <f>(0.53+0.81+0.89)/3</f>
        <v>0.74333333333333329</v>
      </c>
      <c r="C25" s="28">
        <v>3</v>
      </c>
      <c r="E25" s="4" t="s">
        <v>70</v>
      </c>
      <c r="F25" s="27">
        <f>(1.02+2.92)/2</f>
        <v>1.97</v>
      </c>
      <c r="G25" s="28">
        <v>2</v>
      </c>
      <c r="I25" s="6" t="s">
        <v>74</v>
      </c>
      <c r="J25" s="7">
        <v>4.33</v>
      </c>
    </row>
    <row r="26" spans="1:10" ht="15.75" customHeight="1" x14ac:dyDescent="0.2">
      <c r="A26" s="4" t="s">
        <v>72</v>
      </c>
      <c r="B26" s="27" t="s">
        <v>14</v>
      </c>
      <c r="C26" s="28">
        <v>0</v>
      </c>
      <c r="E26" s="4" t="s">
        <v>73</v>
      </c>
      <c r="F26" s="27">
        <v>1.95</v>
      </c>
      <c r="G26" s="28">
        <v>1</v>
      </c>
      <c r="I26" s="6" t="s">
        <v>77</v>
      </c>
      <c r="J26" s="7">
        <v>3.88</v>
      </c>
    </row>
    <row r="27" spans="1:10" ht="15.75" customHeight="1" x14ac:dyDescent="0.2">
      <c r="A27" s="4" t="s">
        <v>75</v>
      </c>
      <c r="B27" s="24">
        <v>1.75</v>
      </c>
      <c r="C27" s="6">
        <v>1</v>
      </c>
      <c r="E27" s="4" t="s">
        <v>76</v>
      </c>
      <c r="F27" s="5">
        <f>(1.67+2.4+1.2+1.11+0.47+2.07)/6</f>
        <v>1.4866666666666666</v>
      </c>
      <c r="G27" s="6">
        <v>6</v>
      </c>
      <c r="I27" s="6" t="s">
        <v>80</v>
      </c>
      <c r="J27" s="7">
        <v>3.27</v>
      </c>
    </row>
    <row r="28" spans="1:10" ht="15.75" customHeight="1" x14ac:dyDescent="0.2">
      <c r="A28" s="4" t="s">
        <v>78</v>
      </c>
      <c r="B28" s="24">
        <f>(0.82+1.11+0.34+0.85+0.84+1.56)/6</f>
        <v>0.91999999999999993</v>
      </c>
      <c r="C28" s="6">
        <v>6</v>
      </c>
      <c r="E28" s="4" t="s">
        <v>79</v>
      </c>
      <c r="F28" s="5">
        <f>(2.44+2.38+3.69+8.72+1.03+2.91+3.68+1.53+2.44+2.51+2.77+2.12+0.84+1.07+1.19+0.68)/16</f>
        <v>2.5000000000000004</v>
      </c>
      <c r="G28" s="6">
        <v>16</v>
      </c>
      <c r="I28" s="6" t="s">
        <v>83</v>
      </c>
      <c r="J28" s="7">
        <v>3.31</v>
      </c>
    </row>
    <row r="29" spans="1:10" ht="15.75" customHeight="1" x14ac:dyDescent="0.2">
      <c r="A29" s="4" t="s">
        <v>81</v>
      </c>
      <c r="B29" s="27">
        <f>(0.76+2.63+1.02+1.94)/4</f>
        <v>1.5874999999999999</v>
      </c>
      <c r="C29" s="28">
        <v>4</v>
      </c>
      <c r="E29" s="4" t="s">
        <v>82</v>
      </c>
      <c r="F29" s="27" t="s">
        <v>14</v>
      </c>
      <c r="G29" s="28">
        <v>0</v>
      </c>
      <c r="I29" s="6" t="s">
        <v>86</v>
      </c>
      <c r="J29" s="7">
        <v>4.26</v>
      </c>
    </row>
    <row r="30" spans="1:10" ht="15.75" customHeight="1" x14ac:dyDescent="0.2">
      <c r="A30" s="4" t="s">
        <v>84</v>
      </c>
      <c r="B30" s="27">
        <f>(1.59+1.38)/2</f>
        <v>1.4849999999999999</v>
      </c>
      <c r="C30" s="28">
        <v>2</v>
      </c>
      <c r="E30" s="4" t="s">
        <v>85</v>
      </c>
      <c r="F30" s="27">
        <f>(5.78+1.54)/2</f>
        <v>3.66</v>
      </c>
      <c r="G30" s="28">
        <v>2</v>
      </c>
      <c r="I30" s="6" t="s">
        <v>89</v>
      </c>
      <c r="J30" s="7">
        <v>3.71</v>
      </c>
    </row>
    <row r="31" spans="1:10" ht="15.75" customHeight="1" x14ac:dyDescent="0.2">
      <c r="A31" s="4" t="s">
        <v>87</v>
      </c>
      <c r="B31" s="24">
        <f>(1.45+0.34+0.26)/3</f>
        <v>0.68333333333333324</v>
      </c>
      <c r="C31" s="6">
        <v>3</v>
      </c>
      <c r="E31" s="4" t="s">
        <v>88</v>
      </c>
      <c r="F31" s="5">
        <v>3.04</v>
      </c>
      <c r="G31" s="6">
        <v>1</v>
      </c>
      <c r="I31" s="6" t="s">
        <v>91</v>
      </c>
      <c r="J31" s="7">
        <v>3.24</v>
      </c>
    </row>
    <row r="32" spans="1:10" ht="15.75" customHeight="1" x14ac:dyDescent="0.2">
      <c r="A32" s="4" t="s">
        <v>65</v>
      </c>
      <c r="B32" s="24" t="s">
        <v>14</v>
      </c>
      <c r="C32" s="6">
        <v>0</v>
      </c>
      <c r="E32" s="4" t="s">
        <v>90</v>
      </c>
      <c r="F32" s="5">
        <f>(2.51+2.27+0.55+2.49+0.65+2.74)/6</f>
        <v>1.8683333333333332</v>
      </c>
      <c r="G32" s="6">
        <v>6</v>
      </c>
      <c r="I32" s="6" t="s">
        <v>94</v>
      </c>
      <c r="J32" s="7">
        <v>4.05</v>
      </c>
    </row>
    <row r="33" spans="1:10" ht="15.75" customHeight="1" x14ac:dyDescent="0.2">
      <c r="A33" s="4" t="s">
        <v>92</v>
      </c>
      <c r="B33" s="27" t="s">
        <v>14</v>
      </c>
      <c r="C33" s="28">
        <v>0</v>
      </c>
      <c r="E33" s="4" t="s">
        <v>93</v>
      </c>
      <c r="F33" s="27">
        <f>(1.61+2.65)/2</f>
        <v>2.13</v>
      </c>
      <c r="G33" s="28">
        <v>2</v>
      </c>
      <c r="I33" s="6" t="s">
        <v>97</v>
      </c>
      <c r="J33" s="7">
        <v>3.64</v>
      </c>
    </row>
    <row r="34" spans="1:10" ht="15.75" customHeight="1" x14ac:dyDescent="0.2">
      <c r="A34" s="4" t="s">
        <v>95</v>
      </c>
      <c r="B34" s="27" t="s">
        <v>14</v>
      </c>
      <c r="C34" s="28">
        <v>0</v>
      </c>
      <c r="E34" s="4" t="s">
        <v>96</v>
      </c>
      <c r="F34" s="27">
        <v>2.0499999999999998</v>
      </c>
      <c r="G34" s="28">
        <v>1</v>
      </c>
      <c r="I34" s="6" t="s">
        <v>100</v>
      </c>
      <c r="J34" s="7">
        <v>3.86</v>
      </c>
    </row>
    <row r="35" spans="1:10" ht="15.75" customHeight="1" x14ac:dyDescent="0.2">
      <c r="A35" s="4" t="s">
        <v>98</v>
      </c>
      <c r="B35" s="24" t="s">
        <v>14</v>
      </c>
      <c r="C35" s="6">
        <v>0</v>
      </c>
      <c r="E35" s="4" t="s">
        <v>99</v>
      </c>
      <c r="F35" s="5">
        <f>(2.22+1.04)/2</f>
        <v>1.6300000000000001</v>
      </c>
      <c r="G35" s="6">
        <v>2</v>
      </c>
      <c r="I35" s="6" t="s">
        <v>103</v>
      </c>
      <c r="J35" s="7">
        <v>3.61</v>
      </c>
    </row>
    <row r="36" spans="1:10" ht="15.75" customHeight="1" x14ac:dyDescent="0.2">
      <c r="A36" s="4" t="s">
        <v>101</v>
      </c>
      <c r="B36" s="24" t="s">
        <v>14</v>
      </c>
      <c r="C36" s="6">
        <v>0</v>
      </c>
      <c r="E36" s="4" t="s">
        <v>102</v>
      </c>
      <c r="F36" s="5">
        <f>(0.75+0.76+1.06)/3</f>
        <v>0.8566666666666668</v>
      </c>
      <c r="G36" s="6">
        <v>3</v>
      </c>
      <c r="I36" s="6" t="s">
        <v>105</v>
      </c>
      <c r="J36" s="7">
        <v>3.34</v>
      </c>
    </row>
    <row r="37" spans="1:10" ht="15.75" customHeight="1" x14ac:dyDescent="0.2">
      <c r="A37" s="4" t="s">
        <v>104</v>
      </c>
      <c r="B37" s="27" t="s">
        <v>14</v>
      </c>
      <c r="C37" s="28">
        <v>0</v>
      </c>
      <c r="I37" s="6" t="s">
        <v>106</v>
      </c>
      <c r="J37" s="7">
        <v>4.05</v>
      </c>
    </row>
    <row r="38" spans="1:10" ht="15.75" customHeight="1" x14ac:dyDescent="0.2">
      <c r="I38" s="6" t="s">
        <v>107</v>
      </c>
      <c r="J38" s="7">
        <v>3.79</v>
      </c>
    </row>
    <row r="39" spans="1:10" ht="15.75" customHeight="1" x14ac:dyDescent="0.2">
      <c r="I39" s="6" t="s">
        <v>108</v>
      </c>
      <c r="J39" s="7">
        <v>3.96</v>
      </c>
    </row>
    <row r="40" spans="1:10" ht="15.75" customHeight="1" x14ac:dyDescent="0.2">
      <c r="I40" s="6" t="s">
        <v>109</v>
      </c>
      <c r="J40" s="7">
        <v>3.47</v>
      </c>
    </row>
    <row r="41" spans="1:10" ht="15.75" customHeight="1" x14ac:dyDescent="0.2">
      <c r="I41" s="6" t="s">
        <v>110</v>
      </c>
      <c r="J41" s="7">
        <v>4.12</v>
      </c>
    </row>
    <row r="42" spans="1:10" ht="15.75" customHeight="1" x14ac:dyDescent="0.2">
      <c r="I42" s="6" t="s">
        <v>111</v>
      </c>
      <c r="J42" s="7">
        <v>3.52</v>
      </c>
    </row>
    <row r="43" spans="1:10" ht="15.75" customHeight="1" x14ac:dyDescent="0.2">
      <c r="I43" s="6" t="s">
        <v>112</v>
      </c>
      <c r="J43" s="7">
        <v>3.46</v>
      </c>
    </row>
    <row r="44" spans="1:10" ht="15.75" customHeight="1" x14ac:dyDescent="0.2">
      <c r="I44" s="6" t="s">
        <v>113</v>
      </c>
      <c r="J44" s="7">
        <v>3.55</v>
      </c>
    </row>
    <row r="45" spans="1:10" ht="15.75" customHeight="1" x14ac:dyDescent="0.2">
      <c r="I45" s="6" t="s">
        <v>114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CoCoRAHS January 2024</vt:lpstr>
      <vt:lpstr>CoCoRAHS_February 2024</vt:lpstr>
      <vt:lpstr>CoCoRAHS_March 2023</vt:lpstr>
      <vt:lpstr>CoCoRAHS_April 2023</vt:lpstr>
      <vt:lpstr>CoCoRAHS_May 2023</vt:lpstr>
      <vt:lpstr>CoCoRAHS_June 2023</vt:lpstr>
      <vt:lpstr>CoCoRAHS_July 2023</vt:lpstr>
      <vt:lpstr>CoCoRAHS_August_2023</vt:lpstr>
      <vt:lpstr>CoCoRAHS_September 2023</vt:lpstr>
      <vt:lpstr>CoCoRAHS_October_2023</vt:lpstr>
      <vt:lpstr>CoCoRAHS_November_2023</vt:lpstr>
      <vt:lpstr>CoCoRAHS_December_2023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</dc:creator>
  <cp:lastModifiedBy>Jennifer Geary</cp:lastModifiedBy>
  <dcterms:created xsi:type="dcterms:W3CDTF">2015-02-02T17:41:55Z</dcterms:created>
  <dcterms:modified xsi:type="dcterms:W3CDTF">2024-03-25T15:14:12Z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e24fda99-2632-46da-8236-cfc975c5a77b</vt:lpwstr>
  </property>
</Properties>
</file>